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" windowWidth="11268" windowHeight="6492" tabRatio="657" activeTab="3"/>
  </bookViews>
  <sheets>
    <sheet name="evaluare" sheetId="1" r:id="rId1"/>
    <sheet name="cal_ISO" sheetId="2" r:id="rId2"/>
    <sheet name="cal_II" sheetId="3" r:id="rId3"/>
    <sheet name="TOTAL" sheetId="4" r:id="rId4"/>
  </sheets>
  <externalReferences>
    <externalReference r:id="rId7"/>
  </externalReferences>
  <definedNames>
    <definedName name="&#13;">#REF!</definedName>
    <definedName name="Balneo_06">'[1]Balneo_06'!$A$1:$D$18</definedName>
    <definedName name="Balneo_pr_sem_I_06">#REF!</definedName>
    <definedName name="Balneo_pr_sem_II_06">#REF!</definedName>
    <definedName name="Balneo_sem_I_06">'[1]Balneo_sem_I_06_c'!$A$1:$D$19</definedName>
    <definedName name="Balneo_sem_II_06">'[1]Balneo_sem_II_06_c'!$A$1:$D$19</definedName>
    <definedName name="pac_lab_06">#REF!</definedName>
    <definedName name="paracl_06_nv">#REF!</definedName>
    <definedName name="paracl_06_v">#REF!</definedName>
    <definedName name="_xlnm.Print_Area" localSheetId="2">'cal_II'!$A$1:$D$43</definedName>
    <definedName name="_xlnm.Print_Area" localSheetId="1">'cal_ISO'!$A$1:$E$43</definedName>
    <definedName name="_xlnm.Print_Area" localSheetId="0">'evaluare'!$A$1:$D$44</definedName>
    <definedName name="_xlnm.Print_Area" localSheetId="3">'TOTAL'!$A$1:$F$43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<sst xmlns="http://schemas.openxmlformats.org/spreadsheetml/2006/main" count="172" uniqueCount="61">
  <si>
    <t>Nr.crt.</t>
  </si>
  <si>
    <t>FURNIZOR</t>
  </si>
  <si>
    <t>Fond alocat 1</t>
  </si>
  <si>
    <t>TOTAL</t>
  </si>
  <si>
    <t>VAL.PUNCT=</t>
  </si>
  <si>
    <t>FOND TOTAL ALOCAT LABORATOARE</t>
  </si>
  <si>
    <t>ANEXA NR.   2</t>
  </si>
  <si>
    <t>ANEXA NR.   3</t>
  </si>
  <si>
    <t>ANEXA NR.   4</t>
  </si>
  <si>
    <t>3=col.2/total col.2*  total fond 1</t>
  </si>
  <si>
    <t>VALOARE PUNCT</t>
  </si>
  <si>
    <t>ANGELMED SRL</t>
  </si>
  <si>
    <t>CLINICA SANTE SRL</t>
  </si>
  <si>
    <t>HELICOMED SRL</t>
  </si>
  <si>
    <t>LARMED SCM</t>
  </si>
  <si>
    <t>LUMISAN SRL</t>
  </si>
  <si>
    <t>NETCONSULT SRL</t>
  </si>
  <si>
    <t>SYNEVO ROMANIA SRL</t>
  </si>
  <si>
    <t>TRITEST SRL</t>
  </si>
  <si>
    <t>LABORATOARELE BIOCLINICA SRL</t>
  </si>
  <si>
    <t>STEFANIA MEDICAL SRL</t>
  </si>
  <si>
    <t xml:space="preserve"> Fond evaluare(50%)</t>
  </si>
  <si>
    <t>evaluare 50%</t>
  </si>
  <si>
    <t>LABORATOARELE SYNLAB</t>
  </si>
  <si>
    <t>SERVICII DE LABORATOR - CRITERIUL EVALUARE RESURSE</t>
  </si>
  <si>
    <t>SERVICII DE LABORATOR - CRITERIUL MANAGEMENT - ISO</t>
  </si>
  <si>
    <t xml:space="preserve">SERVICII DE LABORATOR - CRITERIUL MANAGEMENT -SCHEME TESTARE COMPETENTA </t>
  </si>
  <si>
    <t>FOND cr.calitate a)(50%din 50%)</t>
  </si>
  <si>
    <t>calitate ISO 50 din 50%</t>
  </si>
  <si>
    <t>calitate scheme 50 din 50%</t>
  </si>
  <si>
    <t>SCM ROCONSIMEDICA CLINIC</t>
  </si>
  <si>
    <t xml:space="preserve">Fond alocat </t>
  </si>
  <si>
    <t xml:space="preserve">3=col.2/total col.2* total fond </t>
  </si>
  <si>
    <t xml:space="preserve">3=col.2/total col.2*  total fond </t>
  </si>
  <si>
    <t>ANEXA NR. 1</t>
  </si>
  <si>
    <t>BIODEV MEDICAL CENTER SRL</t>
  </si>
  <si>
    <t>C.M. SF. NICOLAE SRL</t>
  </si>
  <si>
    <t>INVESTIGATII MEDICALE PRAXIS SRL</t>
  </si>
  <si>
    <t>LAB. ASOC. NICOLINA</t>
  </si>
  <si>
    <t>LAB.PT.ANALIZE MEDICALE SRL</t>
  </si>
  <si>
    <t>MITROPOLIA MOLDOVEI SI BUCOVINEI</t>
  </si>
  <si>
    <t>SPITALUL CLINIC  DR.C.I.PARHON IASI</t>
  </si>
  <si>
    <t>SPITALUL CLINIC CF IASI</t>
  </si>
  <si>
    <t>SPITALUL CLINIC DE URGENTA PENTRU COPII "SF.MARIA" IASI</t>
  </si>
  <si>
    <t>SPITALUL CLINIC JUDETEAN DE URGENTA "SF. SPIRIDON" IASI</t>
  </si>
  <si>
    <t>SPITALUL MUNICIPAL DE URGENTA PASCANI</t>
  </si>
  <si>
    <t>TOP MEDICAL GRUP SRL</t>
  </si>
  <si>
    <t>TRANSMED EXPERT  SRL</t>
  </si>
  <si>
    <t>MEDVERO SRL</t>
  </si>
  <si>
    <t>CENTRUL MEDICAL UNIREA SRL</t>
  </si>
  <si>
    <t>KARSUS MEDICAL SRL(INTERDENTIS PASCANI)</t>
  </si>
  <si>
    <t>INSTITUTUL REGIONAL DE ONCOLOGIE IASI</t>
  </si>
  <si>
    <t>Observatii</t>
  </si>
  <si>
    <t>(+18 pct - v. Referat Ev.Contractare 180/18.09.2018)</t>
  </si>
  <si>
    <t>puncte 2019</t>
  </si>
  <si>
    <t>BIODEV MEDICAL CENTER SRL - 2 pct.de lucru</t>
  </si>
  <si>
    <t>RECUMEDIS (fost  RED CLINIC )</t>
  </si>
  <si>
    <t>SPITALUL CLINIC DE RECUPERARE</t>
  </si>
  <si>
    <t>31/12/2020</t>
  </si>
  <si>
    <t xml:space="preserve"> TOTAL CRITERII DE SELECTIE  - SERVICII PARACLINICE DE LABORATOR - IANUARIE 2021</t>
  </si>
  <si>
    <t>INSTITUTUL DE PSIHIATRIE SOCOLA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</si>
</sst>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_);[Red]\(0.00\)"/>
    <numFmt numFmtId="181" formatCode="#,##0.000"/>
    <numFmt numFmtId="182" formatCode="#,##0.0000"/>
    <numFmt numFmtId="183" formatCode="0.0"/>
    <numFmt numFmtId="184" formatCode="0.000"/>
    <numFmt numFmtId="185" formatCode="0.0000"/>
  </numFmts>
  <fonts count="3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6">
    <xf numFmtId="3" fontId="0" fillId="0" borderId="1" applyNumberFormat="0" applyFont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2" applyNumberFormat="0" applyAlignment="0" applyProtection="0"/>
    <xf numFmtId="0" fontId="19" fillId="21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0" borderId="7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</cellStyleXfs>
  <cellXfs count="162">
    <xf numFmtId="0" fontId="0" fillId="0" borderId="0" xfId="0" applyNumberFormat="1" applyBorder="1" applyAlignment="1">
      <alignment/>
    </xf>
    <xf numFmtId="0" fontId="0" fillId="0" borderId="0" xfId="57" applyFill="1" applyAlignment="1">
      <alignment vertical="center"/>
      <protection/>
    </xf>
    <xf numFmtId="0" fontId="7" fillId="0" borderId="0" xfId="57" applyFont="1" applyFill="1" applyAlignment="1">
      <alignment vertical="center"/>
      <protection/>
    </xf>
    <xf numFmtId="0" fontId="1" fillId="0" borderId="0" xfId="57" applyFont="1" applyFill="1" applyAlignment="1">
      <alignment vertical="center"/>
      <protection/>
    </xf>
    <xf numFmtId="0" fontId="6" fillId="0" borderId="0" xfId="57" applyFont="1" applyFill="1" applyAlignment="1">
      <alignment vertical="center"/>
      <protection/>
    </xf>
    <xf numFmtId="0" fontId="6" fillId="0" borderId="0" xfId="0" applyNumberFormat="1" applyFont="1" applyFill="1" applyBorder="1" applyAlignment="1">
      <alignment horizontal="right" vertical="center"/>
    </xf>
    <xf numFmtId="1" fontId="1" fillId="0" borderId="0" xfId="57" applyNumberFormat="1" applyFont="1" applyFill="1" applyAlignment="1">
      <alignment vertical="center"/>
      <protection/>
    </xf>
    <xf numFmtId="4" fontId="1" fillId="0" borderId="0" xfId="57" applyNumberFormat="1" applyFont="1" applyFill="1" applyBorder="1" applyAlignment="1">
      <alignment vertical="center"/>
      <protection/>
    </xf>
    <xf numFmtId="4" fontId="1" fillId="0" borderId="0" xfId="57" applyNumberFormat="1" applyFont="1" applyFill="1" applyAlignment="1">
      <alignment vertical="center"/>
      <protection/>
    </xf>
    <xf numFmtId="4" fontId="1" fillId="0" borderId="1" xfId="57" applyNumberFormat="1" applyFont="1" applyFill="1" applyBorder="1" applyAlignment="1">
      <alignment vertical="center"/>
      <protection/>
    </xf>
    <xf numFmtId="0" fontId="1" fillId="0" borderId="11" xfId="57" applyFont="1" applyFill="1" applyBorder="1" applyAlignment="1">
      <alignment vertical="center"/>
      <protection/>
    </xf>
    <xf numFmtId="0" fontId="1" fillId="0" borderId="0" xfId="57" applyFont="1" applyFill="1" applyBorder="1" applyAlignment="1">
      <alignment vertical="center"/>
      <protection/>
    </xf>
    <xf numFmtId="0" fontId="0" fillId="0" borderId="11" xfId="0" applyNumberFormat="1" applyFont="1" applyFill="1" applyBorder="1" applyAlignment="1">
      <alignment vertical="center"/>
    </xf>
    <xf numFmtId="0" fontId="0" fillId="24" borderId="1" xfId="0" applyNumberFormat="1" applyFont="1" applyFill="1" applyBorder="1" applyAlignment="1">
      <alignment vertical="center" wrapText="1"/>
    </xf>
    <xf numFmtId="0" fontId="0" fillId="0" borderId="0" xfId="57" applyFont="1" applyFill="1" applyAlignment="1">
      <alignment vertical="center"/>
      <protection/>
    </xf>
    <xf numFmtId="4" fontId="0" fillId="0" borderId="0" xfId="57" applyNumberFormat="1" applyFont="1" applyFill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4" fontId="5" fillId="0" borderId="0" xfId="57" applyNumberFormat="1" applyFont="1" applyFill="1" applyAlignment="1">
      <alignment vertical="center"/>
      <protection/>
    </xf>
    <xf numFmtId="4" fontId="7" fillId="0" borderId="0" xfId="57" applyNumberFormat="1" applyFont="1" applyFill="1" applyAlignment="1">
      <alignment vertical="center"/>
      <protection/>
    </xf>
    <xf numFmtId="4" fontId="6" fillId="0" borderId="0" xfId="57" applyNumberFormat="1" applyFont="1" applyFill="1" applyAlignment="1">
      <alignment vertical="center"/>
      <protection/>
    </xf>
    <xf numFmtId="0" fontId="0" fillId="0" borderId="1" xfId="0" applyNumberFormat="1" applyFont="1" applyFill="1" applyBorder="1" applyAlignment="1">
      <alignment vertical="center" wrapText="1"/>
    </xf>
    <xf numFmtId="0" fontId="0" fillId="24" borderId="1" xfId="0" applyNumberFormat="1" applyFont="1" applyFill="1" applyBorder="1" applyAlignment="1">
      <alignment vertical="center" wrapText="1"/>
    </xf>
    <xf numFmtId="2" fontId="1" fillId="0" borderId="12" xfId="57" applyNumberFormat="1" applyFont="1" applyFill="1" applyBorder="1" applyAlignment="1">
      <alignment horizontal="center" vertical="center"/>
      <protection/>
    </xf>
    <xf numFmtId="4" fontId="0" fillId="0" borderId="1" xfId="57" applyNumberFormat="1" applyFont="1" applyFill="1" applyBorder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1" fillId="0" borderId="1" xfId="57" applyFont="1" applyFill="1" applyBorder="1" applyAlignment="1">
      <alignment vertical="center"/>
      <protection/>
    </xf>
    <xf numFmtId="0" fontId="1" fillId="0" borderId="12" xfId="57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2" fontId="1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ont="1" applyFill="1" applyBorder="1" applyAlignment="1">
      <alignment vertical="center"/>
      <protection/>
    </xf>
    <xf numFmtId="2" fontId="6" fillId="0" borderId="0" xfId="57" applyNumberFormat="1" applyFont="1" applyFill="1" applyAlignment="1">
      <alignment vertical="center"/>
      <protection/>
    </xf>
    <xf numFmtId="0" fontId="0" fillId="0" borderId="0" xfId="57" applyFill="1" applyBorder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0" fillId="24" borderId="0" xfId="57" applyFont="1" applyFill="1" applyAlignment="1">
      <alignment vertical="center"/>
      <protection/>
    </xf>
    <xf numFmtId="0" fontId="0" fillId="0" borderId="11" xfId="57" applyFont="1" applyFill="1" applyBorder="1" applyAlignment="1">
      <alignment vertical="center"/>
      <protection/>
    </xf>
    <xf numFmtId="4" fontId="1" fillId="0" borderId="0" xfId="57" applyNumberFormat="1" applyFont="1" applyFill="1" applyBorder="1" applyAlignment="1">
      <alignment vertical="center"/>
      <protection/>
    </xf>
    <xf numFmtId="2" fontId="1" fillId="0" borderId="1" xfId="57" applyNumberFormat="1" applyFont="1" applyFill="1" applyBorder="1" applyAlignment="1">
      <alignment vertical="center"/>
      <protection/>
    </xf>
    <xf numFmtId="0" fontId="0" fillId="0" borderId="13" xfId="57" applyFont="1" applyFill="1" applyBorder="1" applyAlignment="1">
      <alignment vertical="center"/>
      <protection/>
    </xf>
    <xf numFmtId="2" fontId="1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ont="1" applyFill="1" applyBorder="1" applyAlignment="1">
      <alignment vertical="center"/>
      <protection/>
    </xf>
    <xf numFmtId="2" fontId="4" fillId="0" borderId="0" xfId="57" applyNumberFormat="1" applyFont="1" applyFill="1" applyBorder="1" applyAlignment="1">
      <alignment vertical="center"/>
      <protection/>
    </xf>
    <xf numFmtId="4" fontId="4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ill="1" applyBorder="1" applyAlignment="1">
      <alignment vertical="center"/>
      <protection/>
    </xf>
    <xf numFmtId="2" fontId="4" fillId="0" borderId="0" xfId="57" applyNumberFormat="1" applyFont="1" applyFill="1" applyAlignment="1">
      <alignment vertical="center"/>
      <protection/>
    </xf>
    <xf numFmtId="4" fontId="4" fillId="0" borderId="0" xfId="57" applyNumberFormat="1" applyFont="1" applyFill="1" applyAlignment="1">
      <alignment vertical="center"/>
      <protection/>
    </xf>
    <xf numFmtId="4" fontId="0" fillId="0" borderId="0" xfId="57" applyNumberFormat="1" applyFill="1" applyAlignment="1">
      <alignment vertical="center"/>
      <protection/>
    </xf>
    <xf numFmtId="1" fontId="8" fillId="0" borderId="0" xfId="57" applyNumberFormat="1" applyFont="1" applyFill="1" applyBorder="1" applyAlignment="1">
      <alignment vertical="center" wrapText="1"/>
      <protection/>
    </xf>
    <xf numFmtId="0" fontId="1" fillId="0" borderId="1" xfId="57" applyFont="1" applyFill="1" applyBorder="1" applyAlignment="1">
      <alignment vertical="center" wrapText="1"/>
      <protection/>
    </xf>
    <xf numFmtId="4" fontId="0" fillId="24" borderId="0" xfId="57" applyNumberFormat="1" applyFont="1" applyFill="1" applyBorder="1" applyAlignment="1">
      <alignment vertical="center"/>
      <protection/>
    </xf>
    <xf numFmtId="4" fontId="1" fillId="0" borderId="1" xfId="57" applyNumberFormat="1" applyFont="1" applyFill="1" applyBorder="1" applyAlignment="1">
      <alignment vertical="center"/>
      <protection/>
    </xf>
    <xf numFmtId="0" fontId="0" fillId="24" borderId="0" xfId="57" applyFont="1" applyFill="1" applyAlignment="1">
      <alignment vertical="center"/>
      <protection/>
    </xf>
    <xf numFmtId="4" fontId="0" fillId="24" borderId="0" xfId="57" applyNumberFormat="1" applyFont="1" applyFill="1" applyAlignment="1">
      <alignment vertical="center"/>
      <protection/>
    </xf>
    <xf numFmtId="0" fontId="5" fillId="0" borderId="0" xfId="0" applyNumberFormat="1" applyFont="1" applyFill="1" applyBorder="1" applyAlignment="1">
      <alignment vertical="center"/>
    </xf>
    <xf numFmtId="4" fontId="0" fillId="0" borderId="1" xfId="57" applyNumberFormat="1" applyFont="1" applyFill="1" applyBorder="1" applyAlignment="1">
      <alignment vertical="center"/>
      <protection/>
    </xf>
    <xf numFmtId="0" fontId="1" fillId="0" borderId="0" xfId="57" applyFont="1" applyFill="1" applyAlignment="1">
      <alignment vertical="center"/>
      <protection/>
    </xf>
    <xf numFmtId="0" fontId="1" fillId="0" borderId="14" xfId="58" applyFont="1" applyFill="1" applyBorder="1" applyAlignment="1">
      <alignment horizontal="center" vertical="center"/>
      <protection/>
    </xf>
    <xf numFmtId="4" fontId="1" fillId="0" borderId="14" xfId="57" applyNumberFormat="1" applyFont="1" applyFill="1" applyBorder="1" applyAlignment="1">
      <alignment horizontal="center" vertical="center"/>
      <protection/>
    </xf>
    <xf numFmtId="4" fontId="1" fillId="0" borderId="14" xfId="57" applyNumberFormat="1" applyFont="1" applyFill="1" applyBorder="1" applyAlignment="1">
      <alignment horizontal="center" vertical="center" wrapText="1"/>
      <protection/>
    </xf>
    <xf numFmtId="0" fontId="1" fillId="0" borderId="0" xfId="57" applyFont="1" applyFill="1" applyAlignment="1">
      <alignment horizontal="center" vertical="center"/>
      <protection/>
    </xf>
    <xf numFmtId="0" fontId="0" fillId="0" borderId="11" xfId="0" applyNumberFormat="1" applyFont="1" applyFill="1" applyBorder="1" applyAlignment="1">
      <alignment vertical="center"/>
    </xf>
    <xf numFmtId="0" fontId="0" fillId="24" borderId="1" xfId="0" applyNumberFormat="1" applyFont="1" applyFill="1" applyBorder="1" applyAlignment="1">
      <alignment vertical="center" wrapText="1"/>
    </xf>
    <xf numFmtId="4" fontId="1" fillId="0" borderId="1" xfId="57" applyNumberFormat="1" applyFont="1" applyFill="1" applyBorder="1" applyAlignment="1">
      <alignment vertical="center"/>
      <protection/>
    </xf>
    <xf numFmtId="4" fontId="1" fillId="0" borderId="0" xfId="57" applyNumberFormat="1" applyFont="1" applyFill="1" applyAlignment="1">
      <alignment vertical="center"/>
      <protection/>
    </xf>
    <xf numFmtId="4" fontId="11" fillId="0" borderId="0" xfId="57" applyNumberFormat="1" applyFont="1" applyFill="1" applyAlignment="1">
      <alignment vertical="center"/>
      <protection/>
    </xf>
    <xf numFmtId="0" fontId="0" fillId="24" borderId="0" xfId="57" applyFont="1" applyFill="1" applyAlignment="1">
      <alignment vertical="center"/>
      <protection/>
    </xf>
    <xf numFmtId="0" fontId="11" fillId="0" borderId="0" xfId="0" applyNumberFormat="1" applyFont="1" applyFill="1" applyBorder="1" applyAlignment="1">
      <alignment horizontal="center" vertical="center" wrapText="1"/>
    </xf>
    <xf numFmtId="0" fontId="0" fillId="24" borderId="11" xfId="0" applyNumberFormat="1" applyFont="1" applyFill="1" applyBorder="1" applyAlignment="1">
      <alignment vertical="center"/>
    </xf>
    <xf numFmtId="0" fontId="4" fillId="0" borderId="15" xfId="57" applyFont="1" applyFill="1" applyBorder="1" applyAlignment="1">
      <alignment horizontal="center" vertical="center" wrapText="1"/>
      <protection/>
    </xf>
    <xf numFmtId="4" fontId="1" fillId="0" borderId="16" xfId="57" applyNumberFormat="1" applyFont="1" applyFill="1" applyBorder="1" applyAlignment="1">
      <alignment vertical="center"/>
      <protection/>
    </xf>
    <xf numFmtId="0" fontId="0" fillId="0" borderId="17" xfId="57" applyFont="1" applyFill="1" applyBorder="1" applyAlignment="1">
      <alignment vertical="center"/>
      <protection/>
    </xf>
    <xf numFmtId="0" fontId="1" fillId="0" borderId="18" xfId="57" applyFont="1" applyFill="1" applyBorder="1" applyAlignment="1">
      <alignment vertical="center"/>
      <protection/>
    </xf>
    <xf numFmtId="4" fontId="1" fillId="0" borderId="18" xfId="57" applyNumberFormat="1" applyFont="1" applyFill="1" applyBorder="1" applyAlignment="1">
      <alignment vertical="center"/>
      <protection/>
    </xf>
    <xf numFmtId="0" fontId="0" fillId="0" borderId="19" xfId="57" applyFont="1" applyFill="1" applyBorder="1" applyAlignment="1">
      <alignment vertical="center"/>
      <protection/>
    </xf>
    <xf numFmtId="0" fontId="1" fillId="0" borderId="16" xfId="57" applyFont="1" applyFill="1" applyBorder="1" applyAlignment="1">
      <alignment vertical="center"/>
      <protection/>
    </xf>
    <xf numFmtId="0" fontId="11" fillId="0" borderId="0" xfId="57" applyFont="1" applyFill="1" applyAlignment="1">
      <alignment vertical="center"/>
      <protection/>
    </xf>
    <xf numFmtId="0" fontId="5" fillId="0" borderId="0" xfId="0" applyNumberFormat="1" applyFont="1" applyFill="1" applyBorder="1" applyAlignment="1">
      <alignment horizontal="center" vertical="center" wrapText="1"/>
    </xf>
    <xf numFmtId="2" fontId="0" fillId="24" borderId="1" xfId="59" applyNumberFormat="1" applyFont="1" applyFill="1" applyBorder="1" applyAlignment="1">
      <alignment vertical="center" wrapText="1"/>
      <protection/>
    </xf>
    <xf numFmtId="0" fontId="0" fillId="24" borderId="20" xfId="0" applyNumberFormat="1" applyFont="1" applyFill="1" applyBorder="1" applyAlignment="1">
      <alignment vertical="center"/>
    </xf>
    <xf numFmtId="0" fontId="0" fillId="24" borderId="0" xfId="57" applyFont="1" applyFill="1" applyBorder="1" applyAlignment="1">
      <alignment vertical="center"/>
      <protection/>
    </xf>
    <xf numFmtId="0" fontId="0" fillId="24" borderId="11" xfId="0" applyNumberFormat="1" applyFont="1" applyFill="1" applyBorder="1" applyAlignment="1">
      <alignment vertical="center"/>
    </xf>
    <xf numFmtId="0" fontId="10" fillId="24" borderId="0" xfId="57" applyFont="1" applyFill="1" applyBorder="1" applyAlignment="1">
      <alignment vertical="center"/>
      <protection/>
    </xf>
    <xf numFmtId="0" fontId="12" fillId="24" borderId="0" xfId="57" applyFont="1" applyFill="1" applyAlignment="1">
      <alignment vertical="center"/>
      <protection/>
    </xf>
    <xf numFmtId="0" fontId="0" fillId="0" borderId="21" xfId="57" applyFont="1" applyFill="1" applyBorder="1" applyAlignment="1">
      <alignment horizontal="center" vertical="center" wrapText="1"/>
      <protection/>
    </xf>
    <xf numFmtId="0" fontId="1" fillId="0" borderId="22" xfId="57" applyFont="1" applyFill="1" applyBorder="1" applyAlignment="1">
      <alignment horizontal="center" vertical="center"/>
      <protection/>
    </xf>
    <xf numFmtId="1" fontId="4" fillId="0" borderId="17" xfId="57" applyNumberFormat="1" applyFont="1" applyFill="1" applyBorder="1" applyAlignment="1">
      <alignment vertical="center" wrapText="1"/>
      <protection/>
    </xf>
    <xf numFmtId="1" fontId="4" fillId="0" borderId="18" xfId="57" applyNumberFormat="1" applyFont="1" applyFill="1" applyBorder="1" applyAlignment="1">
      <alignment horizontal="center" vertical="center" wrapText="1"/>
      <protection/>
    </xf>
    <xf numFmtId="3" fontId="4" fillId="0" borderId="18" xfId="57" applyNumberFormat="1" applyFont="1" applyFill="1" applyBorder="1" applyAlignment="1">
      <alignment horizontal="center" vertical="center" wrapText="1"/>
      <protection/>
    </xf>
    <xf numFmtId="0" fontId="1" fillId="0" borderId="21" xfId="57" applyFont="1" applyFill="1" applyBorder="1" applyAlignment="1">
      <alignment vertical="center" wrapText="1"/>
      <protection/>
    </xf>
    <xf numFmtId="0" fontId="1" fillId="0" borderId="22" xfId="57" applyFont="1" applyFill="1" applyBorder="1" applyAlignment="1">
      <alignment vertical="center"/>
      <protection/>
    </xf>
    <xf numFmtId="0" fontId="0" fillId="0" borderId="20" xfId="0" applyNumberFormat="1" applyFont="1" applyFill="1" applyBorder="1" applyAlignment="1">
      <alignment vertical="center"/>
    </xf>
    <xf numFmtId="1" fontId="1" fillId="0" borderId="17" xfId="57" applyNumberFormat="1" applyFont="1" applyFill="1" applyBorder="1" applyAlignment="1">
      <alignment vertical="center"/>
      <protection/>
    </xf>
    <xf numFmtId="1" fontId="1" fillId="0" borderId="18" xfId="57" applyNumberFormat="1" applyFont="1" applyFill="1" applyBorder="1" applyAlignment="1">
      <alignment horizontal="center" vertical="center"/>
      <protection/>
    </xf>
    <xf numFmtId="4" fontId="10" fillId="24" borderId="0" xfId="57" applyNumberFormat="1" applyFont="1" applyFill="1" applyBorder="1" applyAlignment="1">
      <alignment vertical="center"/>
      <protection/>
    </xf>
    <xf numFmtId="1" fontId="1" fillId="0" borderId="17" xfId="57" applyNumberFormat="1" applyFont="1" applyFill="1" applyBorder="1" applyAlignment="1">
      <alignment vertical="center" wrapText="1"/>
      <protection/>
    </xf>
    <xf numFmtId="3" fontId="1" fillId="0" borderId="18" xfId="57" applyNumberFormat="1" applyFont="1" applyFill="1" applyBorder="1" applyAlignment="1">
      <alignment horizontal="center" vertical="center"/>
      <protection/>
    </xf>
    <xf numFmtId="4" fontId="1" fillId="0" borderId="23" xfId="57" applyNumberFormat="1" applyFont="1" applyFill="1" applyBorder="1" applyAlignment="1">
      <alignment horizontal="center" vertical="center"/>
      <protection/>
    </xf>
    <xf numFmtId="1" fontId="4" fillId="0" borderId="24" xfId="57" applyNumberFormat="1" applyFont="1" applyFill="1" applyBorder="1" applyAlignment="1">
      <alignment horizontal="center" vertical="center" wrapText="1"/>
      <protection/>
    </xf>
    <xf numFmtId="4" fontId="1" fillId="0" borderId="25" xfId="57" applyNumberFormat="1" applyFont="1" applyFill="1" applyBorder="1" applyAlignment="1">
      <alignment vertical="center"/>
      <protection/>
    </xf>
    <xf numFmtId="3" fontId="1" fillId="0" borderId="26" xfId="57" applyNumberFormat="1" applyFont="1" applyFill="1" applyBorder="1" applyAlignment="1">
      <alignment horizontal="center" vertical="center"/>
      <protection/>
    </xf>
    <xf numFmtId="4" fontId="1" fillId="0" borderId="22" xfId="57" applyNumberFormat="1" applyFont="1" applyFill="1" applyBorder="1" applyAlignment="1">
      <alignment horizontal="center" vertical="center" wrapText="1"/>
      <protection/>
    </xf>
    <xf numFmtId="0" fontId="0" fillId="0" borderId="2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4" fontId="0" fillId="0" borderId="1" xfId="57" applyNumberFormat="1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4" fontId="0" fillId="0" borderId="27" xfId="57" applyNumberFormat="1" applyFont="1" applyFill="1" applyBorder="1" applyAlignment="1">
      <alignment vertical="center"/>
      <protection/>
    </xf>
    <xf numFmtId="4" fontId="0" fillId="0" borderId="25" xfId="57" applyNumberFormat="1" applyFont="1" applyFill="1" applyBorder="1" applyAlignment="1">
      <alignment vertical="center"/>
      <protection/>
    </xf>
    <xf numFmtId="4" fontId="1" fillId="0" borderId="12" xfId="57" applyNumberFormat="1" applyFont="1" applyFill="1" applyBorder="1" applyAlignment="1">
      <alignment horizontal="center" vertical="center"/>
      <protection/>
    </xf>
    <xf numFmtId="4" fontId="0" fillId="0" borderId="27" xfId="57" applyNumberFormat="1" applyFont="1" applyFill="1" applyBorder="1" applyAlignment="1">
      <alignment vertical="center"/>
      <protection/>
    </xf>
    <xf numFmtId="4" fontId="1" fillId="0" borderId="25" xfId="57" applyNumberFormat="1" applyFont="1" applyFill="1" applyBorder="1" applyAlignment="1">
      <alignment vertical="center"/>
      <protection/>
    </xf>
    <xf numFmtId="4" fontId="0" fillId="0" borderId="25" xfId="57" applyNumberFormat="1" applyFont="1" applyFill="1" applyBorder="1" applyAlignment="1">
      <alignment vertical="center"/>
      <protection/>
    </xf>
    <xf numFmtId="4" fontId="1" fillId="0" borderId="26" xfId="57" applyNumberFormat="1" applyFont="1" applyFill="1" applyBorder="1" applyAlignment="1">
      <alignment vertical="center"/>
      <protection/>
    </xf>
    <xf numFmtId="4" fontId="1" fillId="0" borderId="24" xfId="57" applyNumberFormat="1" applyFont="1" applyFill="1" applyBorder="1" applyAlignment="1">
      <alignment vertical="center"/>
      <protection/>
    </xf>
    <xf numFmtId="4" fontId="0" fillId="0" borderId="0" xfId="57" applyNumberFormat="1" applyFont="1" applyFill="1" applyAlignment="1">
      <alignment vertical="center"/>
      <protection/>
    </xf>
    <xf numFmtId="4" fontId="12" fillId="24" borderId="0" xfId="57" applyNumberFormat="1" applyFont="1" applyFill="1" applyAlignment="1">
      <alignment vertical="center"/>
      <protection/>
    </xf>
    <xf numFmtId="4" fontId="0" fillId="24" borderId="0" xfId="57" applyNumberFormat="1" applyFont="1" applyFill="1" applyAlignment="1">
      <alignment vertical="center"/>
      <protection/>
    </xf>
    <xf numFmtId="4" fontId="1" fillId="0" borderId="23" xfId="57" applyNumberFormat="1" applyFont="1" applyFill="1" applyBorder="1" applyAlignment="1">
      <alignment vertical="center"/>
      <protection/>
    </xf>
    <xf numFmtId="1" fontId="1" fillId="0" borderId="24" xfId="57" applyNumberFormat="1" applyFont="1" applyFill="1" applyBorder="1" applyAlignment="1">
      <alignment horizontal="center" vertical="center" wrapText="1"/>
      <protection/>
    </xf>
    <xf numFmtId="4" fontId="1" fillId="0" borderId="28" xfId="57" applyNumberFormat="1" applyFont="1" applyFill="1" applyBorder="1" applyAlignment="1">
      <alignment vertical="center"/>
      <protection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" xfId="58" applyNumberFormat="1" applyFont="1" applyFill="1" applyBorder="1" applyAlignment="1">
      <alignment horizontal="center" vertical="center" wrapText="1"/>
      <protection/>
    </xf>
    <xf numFmtId="1" fontId="4" fillId="0" borderId="1" xfId="57" applyNumberFormat="1" applyFont="1" applyFill="1" applyBorder="1" applyAlignment="1">
      <alignment horizontal="center" vertical="center" wrapText="1"/>
      <protection/>
    </xf>
    <xf numFmtId="1" fontId="4" fillId="0" borderId="0" xfId="57" applyNumberFormat="1" applyFont="1" applyFill="1" applyAlignment="1">
      <alignment horizontal="center" vertical="center" wrapText="1"/>
      <protection/>
    </xf>
    <xf numFmtId="4" fontId="0" fillId="0" borderId="29" xfId="57" applyNumberFormat="1" applyFont="1" applyFill="1" applyBorder="1" applyAlignment="1">
      <alignment vertical="center"/>
      <protection/>
    </xf>
    <xf numFmtId="4" fontId="0" fillId="0" borderId="30" xfId="57" applyNumberFormat="1" applyFont="1" applyFill="1" applyBorder="1" applyAlignment="1">
      <alignment horizontal="right" vertical="center"/>
      <protection/>
    </xf>
    <xf numFmtId="4" fontId="1" fillId="0" borderId="31" xfId="57" applyNumberFormat="1" applyFont="1" applyFill="1" applyBorder="1" applyAlignment="1">
      <alignment horizontal="center" vertical="center" wrapText="1"/>
      <protection/>
    </xf>
    <xf numFmtId="1" fontId="4" fillId="0" borderId="25" xfId="57" applyNumberFormat="1" applyFont="1" applyFill="1" applyBorder="1" applyAlignment="1">
      <alignment horizontal="center" vertical="center" wrapText="1"/>
      <protection/>
    </xf>
    <xf numFmtId="4" fontId="0" fillId="0" borderId="25" xfId="57" applyNumberFormat="1" applyFont="1" applyFill="1" applyBorder="1" applyAlignment="1">
      <alignment vertical="center"/>
      <protection/>
    </xf>
    <xf numFmtId="0" fontId="1" fillId="0" borderId="17" xfId="57" applyFont="1" applyFill="1" applyBorder="1" applyAlignment="1">
      <alignment vertical="center"/>
      <protection/>
    </xf>
    <xf numFmtId="0" fontId="1" fillId="0" borderId="18" xfId="57" applyFont="1" applyFill="1" applyBorder="1" applyAlignment="1">
      <alignment vertical="center"/>
      <protection/>
    </xf>
    <xf numFmtId="4" fontId="1" fillId="0" borderId="18" xfId="57" applyNumberFormat="1" applyFont="1" applyFill="1" applyBorder="1" applyAlignment="1">
      <alignment vertical="center"/>
      <protection/>
    </xf>
    <xf numFmtId="4" fontId="1" fillId="0" borderId="24" xfId="57" applyNumberFormat="1" applyFont="1" applyFill="1" applyBorder="1" applyAlignment="1">
      <alignment vertical="center"/>
      <protection/>
    </xf>
    <xf numFmtId="4" fontId="32" fillId="0" borderId="1" xfId="57" applyNumberFormat="1" applyFont="1" applyFill="1" applyBorder="1" applyAlignment="1">
      <alignment vertical="center"/>
      <protection/>
    </xf>
    <xf numFmtId="4" fontId="33" fillId="20" borderId="1" xfId="57" applyNumberFormat="1" applyFont="1" applyFill="1" applyBorder="1" applyAlignment="1">
      <alignment vertical="center"/>
      <protection/>
    </xf>
    <xf numFmtId="4" fontId="32" fillId="0" borderId="29" xfId="57" applyNumberFormat="1" applyFont="1" applyFill="1" applyBorder="1" applyAlignment="1">
      <alignment vertical="center"/>
      <protection/>
    </xf>
    <xf numFmtId="0" fontId="13" fillId="24" borderId="29" xfId="0" applyNumberFormat="1" applyFont="1" applyFill="1" applyBorder="1" applyAlignment="1">
      <alignment vertical="center" wrapText="1"/>
    </xf>
    <xf numFmtId="0" fontId="13" fillId="24" borderId="1" xfId="0" applyNumberFormat="1" applyFont="1" applyFill="1" applyBorder="1" applyAlignment="1">
      <alignment vertical="center" wrapText="1"/>
    </xf>
    <xf numFmtId="0" fontId="13" fillId="0" borderId="1" xfId="0" applyNumberFormat="1" applyFont="1" applyFill="1" applyBorder="1" applyAlignment="1">
      <alignment vertical="center" wrapText="1"/>
    </xf>
    <xf numFmtId="2" fontId="13" fillId="24" borderId="1" xfId="59" applyNumberFormat="1" applyFont="1" applyFill="1" applyBorder="1" applyAlignment="1">
      <alignment vertical="center" wrapText="1"/>
      <protection/>
    </xf>
    <xf numFmtId="4" fontId="1" fillId="0" borderId="23" xfId="57" applyNumberFormat="1" applyFont="1" applyFill="1" applyBorder="1" applyAlignment="1">
      <alignment horizontal="center" vertical="center" wrapText="1"/>
      <protection/>
    </xf>
    <xf numFmtId="1" fontId="1" fillId="0" borderId="24" xfId="57" applyNumberFormat="1" applyFont="1" applyFill="1" applyBorder="1" applyAlignment="1">
      <alignment horizontal="center" vertical="center"/>
      <protection/>
    </xf>
    <xf numFmtId="4" fontId="0" fillId="0" borderId="32" xfId="57" applyNumberFormat="1" applyFont="1" applyFill="1" applyBorder="1" applyAlignment="1">
      <alignment vertical="center"/>
      <protection/>
    </xf>
    <xf numFmtId="4" fontId="0" fillId="0" borderId="33" xfId="57" applyNumberFormat="1" applyFont="1" applyFill="1" applyBorder="1" applyAlignment="1">
      <alignment vertical="center"/>
      <protection/>
    </xf>
    <xf numFmtId="4" fontId="0" fillId="24" borderId="33" xfId="57" applyNumberFormat="1" applyFont="1" applyFill="1" applyBorder="1" applyAlignment="1">
      <alignment vertical="center" wrapText="1"/>
      <protection/>
    </xf>
    <xf numFmtId="4" fontId="1" fillId="0" borderId="33" xfId="57" applyNumberFormat="1" applyFont="1" applyFill="1" applyBorder="1" applyAlignment="1">
      <alignment vertical="center"/>
      <protection/>
    </xf>
    <xf numFmtId="4" fontId="1" fillId="0" borderId="34" xfId="57" applyNumberFormat="1" applyFont="1" applyFill="1" applyBorder="1" applyAlignment="1">
      <alignment vertical="center"/>
      <protection/>
    </xf>
    <xf numFmtId="4" fontId="1" fillId="0" borderId="35" xfId="57" applyNumberFormat="1" applyFont="1" applyFill="1" applyBorder="1" applyAlignment="1">
      <alignment horizontal="center" vertical="center"/>
      <protection/>
    </xf>
    <xf numFmtId="1" fontId="1" fillId="0" borderId="35" xfId="57" applyNumberFormat="1" applyFont="1" applyFill="1" applyBorder="1" applyAlignment="1">
      <alignment horizontal="center" vertical="center" wrapText="1"/>
      <protection/>
    </xf>
    <xf numFmtId="4" fontId="0" fillId="0" borderId="36" xfId="57" applyNumberFormat="1" applyFont="1" applyFill="1" applyBorder="1" applyAlignment="1">
      <alignment vertical="center"/>
      <protection/>
    </xf>
    <xf numFmtId="4" fontId="0" fillId="0" borderId="37" xfId="57" applyNumberFormat="1" applyFont="1" applyFill="1" applyBorder="1" applyAlignment="1">
      <alignment vertical="center"/>
      <protection/>
    </xf>
    <xf numFmtId="4" fontId="1" fillId="0" borderId="38" xfId="57" applyNumberFormat="1" applyFont="1" applyFill="1" applyBorder="1" applyAlignment="1">
      <alignment vertical="center"/>
      <protection/>
    </xf>
    <xf numFmtId="3" fontId="14" fillId="24" borderId="1" xfId="0" applyFont="1" applyFill="1" applyBorder="1" applyAlignment="1">
      <alignment vertical="center" wrapText="1"/>
    </xf>
    <xf numFmtId="4" fontId="10" fillId="0" borderId="25" xfId="57" applyNumberFormat="1" applyFont="1" applyFill="1" applyBorder="1" applyAlignment="1">
      <alignment vertical="center"/>
      <protection/>
    </xf>
    <xf numFmtId="4" fontId="10" fillId="0" borderId="1" xfId="57" applyNumberFormat="1" applyFont="1" applyFill="1" applyBorder="1" applyAlignment="1">
      <alignment vertical="center"/>
      <protection/>
    </xf>
    <xf numFmtId="14" fontId="1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2" fontId="11" fillId="0" borderId="0" xfId="57" applyNumberFormat="1" applyFont="1" applyFill="1" applyAlignment="1">
      <alignment horizontal="center" vertical="center" wrapText="1"/>
      <protection/>
    </xf>
    <xf numFmtId="4" fontId="1" fillId="0" borderId="39" xfId="57" applyNumberFormat="1" applyFont="1" applyFill="1" applyBorder="1" applyAlignment="1">
      <alignment horizontal="center" vertical="center"/>
      <protection/>
    </xf>
    <xf numFmtId="4" fontId="1" fillId="0" borderId="40" xfId="57" applyNumberFormat="1" applyFont="1" applyFill="1" applyBorder="1" applyAlignment="1">
      <alignment horizontal="center" vertical="center"/>
      <protection/>
    </xf>
    <xf numFmtId="0" fontId="11" fillId="0" borderId="0" xfId="57" applyFont="1" applyFill="1" applyAlignment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_evaluare_laboratoare_06_ian_2007" xfId="57"/>
    <cellStyle name="Normal_adresabilitate" xfId="58"/>
    <cellStyle name="Normal_all--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bir.CASS_IS.000\My%20Documents\Balneo_serv_05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neo_06"/>
      <sheetName val="Balneo_sem_I_06_c"/>
      <sheetName val="Balneo_sem_II_06_c"/>
      <sheetName val="Balneo_06_sem_I"/>
      <sheetName val="Balneo_06_sem_II"/>
      <sheetName val="Balneo_06_0"/>
      <sheetName val="Balneo_05_0"/>
    </sheetNames>
    <sheetDataSet>
      <sheetData sheetId="0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84817.7</v>
          </cell>
          <cell r="D2">
            <v>84330.2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385757</v>
          </cell>
          <cell r="D3">
            <v>381667.1</v>
          </cell>
        </row>
        <row r="4">
          <cell r="A4" t="str">
            <v>MEDFIZ SCM</v>
          </cell>
          <cell r="B4" t="str">
            <v>1407</v>
          </cell>
          <cell r="C4">
            <v>120718.1</v>
          </cell>
          <cell r="D4">
            <v>117940.7</v>
          </cell>
        </row>
        <row r="5">
          <cell r="A5" t="str">
            <v>Balneologie si Recuperare medicala</v>
          </cell>
          <cell r="B5" t="str">
            <v>1408</v>
          </cell>
          <cell r="C5">
            <v>234616.2</v>
          </cell>
          <cell r="D5">
            <v>232221.7</v>
          </cell>
        </row>
        <row r="6">
          <cell r="A6" t="str">
            <v>SAN FIZ</v>
          </cell>
          <cell r="B6" t="str">
            <v>1409</v>
          </cell>
          <cell r="C6">
            <v>23410.1</v>
          </cell>
          <cell r="D6">
            <v>23228.199999999997</v>
          </cell>
        </row>
        <row r="7">
          <cell r="A7" t="str">
            <v>Centrul Med. SF.PETRU SI PAVEL</v>
          </cell>
          <cell r="B7" t="str">
            <v>1411</v>
          </cell>
          <cell r="C7">
            <v>318304.1</v>
          </cell>
          <cell r="D7">
            <v>314995.9</v>
          </cell>
        </row>
        <row r="8">
          <cell r="A8" t="str">
            <v>Spitalul Orasenesc Hirlau</v>
          </cell>
          <cell r="B8" t="str">
            <v>1412</v>
          </cell>
          <cell r="C8">
            <v>97597.79999999999</v>
          </cell>
          <cell r="D8">
            <v>88637.79999999999</v>
          </cell>
        </row>
        <row r="9">
          <cell r="A9" t="str">
            <v>Spitalul Municipal Pascani</v>
          </cell>
          <cell r="B9" t="str">
            <v>1413</v>
          </cell>
          <cell r="C9">
            <v>73549.20000000001</v>
          </cell>
          <cell r="D9">
            <v>70987.4</v>
          </cell>
        </row>
        <row r="10">
          <cell r="A10" t="str">
            <v>Spitalul Sf.Spiridon</v>
          </cell>
          <cell r="B10" t="str">
            <v>1414</v>
          </cell>
          <cell r="C10">
            <v>698122.3</v>
          </cell>
          <cell r="D10">
            <v>660095.6</v>
          </cell>
        </row>
        <row r="11">
          <cell r="A11" t="str">
            <v>AMITIE VITAL SCM</v>
          </cell>
          <cell r="B11" t="str">
            <v>1432</v>
          </cell>
          <cell r="C11">
            <v>80555.4</v>
          </cell>
          <cell r="D11">
            <v>79565.6</v>
          </cell>
        </row>
        <row r="12">
          <cell r="A12" t="str">
            <v>Centrul Medical COPOU</v>
          </cell>
          <cell r="B12" t="str">
            <v>1494</v>
          </cell>
          <cell r="C12">
            <v>1475.1</v>
          </cell>
          <cell r="D12">
            <v>1475.1</v>
          </cell>
        </row>
        <row r="13">
          <cell r="A13" t="str">
            <v>CHIRIEAC RODICA MARIETA</v>
          </cell>
          <cell r="B13" t="str">
            <v>1501</v>
          </cell>
          <cell r="C13">
            <v>45516.2</v>
          </cell>
          <cell r="D13">
            <v>44563.600000000006</v>
          </cell>
        </row>
        <row r="14">
          <cell r="A14" t="str">
            <v>BALNEOSAN SRL</v>
          </cell>
          <cell r="B14" t="str">
            <v>1517</v>
          </cell>
          <cell r="C14">
            <v>91708.7</v>
          </cell>
          <cell r="D14">
            <v>87698.5</v>
          </cell>
        </row>
        <row r="15">
          <cell r="A15" t="str">
            <v>CMA RECUPERARE "NICOLINA"</v>
          </cell>
          <cell r="B15" t="str">
            <v>1585</v>
          </cell>
          <cell r="C15">
            <v>1325540.8</v>
          </cell>
          <cell r="D15">
            <v>1260678.2000000002</v>
          </cell>
        </row>
        <row r="16">
          <cell r="A16" t="str">
            <v>FIZIOMEDICA SRL</v>
          </cell>
          <cell r="B16" t="str">
            <v>1664</v>
          </cell>
          <cell r="C16">
            <v>77737.1</v>
          </cell>
          <cell r="D16">
            <v>75396.29999999999</v>
          </cell>
        </row>
        <row r="17">
          <cell r="A17" t="str">
            <v>ANCUTA CODRINA IRENA MIHAELA</v>
          </cell>
          <cell r="B17" t="str">
            <v>1665</v>
          </cell>
          <cell r="C17">
            <v>33422.4</v>
          </cell>
          <cell r="D17">
            <v>32345.8</v>
          </cell>
        </row>
        <row r="18">
          <cell r="A18" t="str">
            <v>ANALDA SRL (iul-dec*2)</v>
          </cell>
          <cell r="B18" t="str">
            <v>1822</v>
          </cell>
          <cell r="C18">
            <v>248301</v>
          </cell>
          <cell r="D18">
            <v>238857.8</v>
          </cell>
        </row>
      </sheetData>
      <sheetData sheetId="1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41904.2</v>
          </cell>
          <cell r="D2">
            <v>41904.2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203666.1</v>
          </cell>
          <cell r="D3">
            <v>201930</v>
          </cell>
        </row>
        <row r="4">
          <cell r="A4" t="str">
            <v>MEDFIZ SCM</v>
          </cell>
          <cell r="B4" t="str">
            <v>1407</v>
          </cell>
          <cell r="C4">
            <v>58232.4</v>
          </cell>
          <cell r="D4">
            <v>57580</v>
          </cell>
        </row>
        <row r="5">
          <cell r="A5" t="str">
            <v>Balneologie si Recuperare medicala</v>
          </cell>
          <cell r="B5" t="str">
            <v>1408</v>
          </cell>
          <cell r="C5">
            <v>116137.3</v>
          </cell>
          <cell r="D5">
            <v>115441.5</v>
          </cell>
        </row>
        <row r="6">
          <cell r="A6" t="str">
            <v>SAN FIZ</v>
          </cell>
          <cell r="B6" t="str">
            <v>1409</v>
          </cell>
          <cell r="C6">
            <v>12581.4</v>
          </cell>
          <cell r="D6">
            <v>12581.4</v>
          </cell>
        </row>
        <row r="7">
          <cell r="A7" t="str">
            <v>Centrul Med. SF.PETRU SI PAVEL</v>
          </cell>
          <cell r="B7" t="str">
            <v>1411</v>
          </cell>
          <cell r="C7">
            <v>198014</v>
          </cell>
          <cell r="D7">
            <v>197072.6</v>
          </cell>
        </row>
        <row r="8">
          <cell r="A8" t="str">
            <v>Spitalul Orasenesc Hirlau</v>
          </cell>
          <cell r="B8" t="str">
            <v>1412</v>
          </cell>
          <cell r="C8">
            <v>57795.1</v>
          </cell>
          <cell r="D8">
            <v>49861.1</v>
          </cell>
        </row>
        <row r="9">
          <cell r="A9" t="str">
            <v>Spitalul Municipal Pascani</v>
          </cell>
          <cell r="B9" t="str">
            <v>1413</v>
          </cell>
          <cell r="C9">
            <v>33235.8</v>
          </cell>
          <cell r="D9">
            <v>32924.7</v>
          </cell>
        </row>
        <row r="10">
          <cell r="A10" t="str">
            <v>Spitalul Sf.Spiridon</v>
          </cell>
          <cell r="B10" t="str">
            <v>1414</v>
          </cell>
          <cell r="C10">
            <v>378517.6</v>
          </cell>
          <cell r="D10">
            <v>362399</v>
          </cell>
        </row>
        <row r="11">
          <cell r="A11" t="str">
            <v>AMITIE VITAL SCM</v>
          </cell>
          <cell r="B11" t="str">
            <v>1432</v>
          </cell>
          <cell r="C11">
            <v>42600.2</v>
          </cell>
          <cell r="D11">
            <v>42386</v>
          </cell>
        </row>
        <row r="12">
          <cell r="A12" t="str">
            <v>Centrul Medical COPOU</v>
          </cell>
          <cell r="B12" t="str">
            <v>1494</v>
          </cell>
          <cell r="C12">
            <v>1041</v>
          </cell>
          <cell r="D12">
            <v>1041</v>
          </cell>
        </row>
        <row r="13">
          <cell r="A13" t="str">
            <v>CHIRIEAC RODICA MARIETA</v>
          </cell>
          <cell r="B13" t="str">
            <v>1501</v>
          </cell>
          <cell r="C13">
            <v>24896.5</v>
          </cell>
          <cell r="D13">
            <v>24641.4</v>
          </cell>
        </row>
        <row r="14">
          <cell r="A14" t="str">
            <v>BALNEOSAN SRL</v>
          </cell>
          <cell r="B14" t="str">
            <v>1517</v>
          </cell>
          <cell r="C14">
            <v>42547.7</v>
          </cell>
          <cell r="D14">
            <v>41410.7</v>
          </cell>
        </row>
        <row r="15">
          <cell r="A15" t="str">
            <v>CMA RECUPERARE "NICOLINA"</v>
          </cell>
          <cell r="B15" t="str">
            <v>1585</v>
          </cell>
          <cell r="C15">
            <v>649540.3</v>
          </cell>
          <cell r="D15">
            <v>616449.9</v>
          </cell>
        </row>
        <row r="16">
          <cell r="A16" t="str">
            <v>FIZIOMEDICA SRL</v>
          </cell>
          <cell r="B16" t="str">
            <v>1664</v>
          </cell>
          <cell r="C16">
            <v>37975.6</v>
          </cell>
          <cell r="D16">
            <v>36912.7</v>
          </cell>
        </row>
        <row r="17">
          <cell r="A17" t="str">
            <v>ANCUTA CODRINA IRENA MIHAELA</v>
          </cell>
          <cell r="B17" t="str">
            <v>1665</v>
          </cell>
          <cell r="C17">
            <v>17962</v>
          </cell>
          <cell r="D17">
            <v>17805.1</v>
          </cell>
        </row>
        <row r="18">
          <cell r="A18" t="str">
            <v>ANALDA SRL (mai-iun)</v>
          </cell>
          <cell r="B18" t="str">
            <v>1822</v>
          </cell>
          <cell r="C18">
            <v>39820.9</v>
          </cell>
          <cell r="D18">
            <v>39490.2</v>
          </cell>
        </row>
        <row r="19">
          <cell r="A19" t="str">
            <v>Cabinet medical Stefania SRL (mai-iun)</v>
          </cell>
          <cell r="B19" t="str">
            <v>1824</v>
          </cell>
          <cell r="C19">
            <v>2731.9</v>
          </cell>
          <cell r="D19">
            <v>2698.4</v>
          </cell>
        </row>
      </sheetData>
      <sheetData sheetId="2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42913.5</v>
          </cell>
          <cell r="D2">
            <v>42426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182090.9</v>
          </cell>
          <cell r="D3">
            <v>179737.1</v>
          </cell>
        </row>
        <row r="4">
          <cell r="A4" t="str">
            <v>MEDFIZ SCM</v>
          </cell>
          <cell r="B4" t="str">
            <v>1407</v>
          </cell>
          <cell r="C4">
            <v>62485.7</v>
          </cell>
          <cell r="D4">
            <v>60360.7</v>
          </cell>
        </row>
        <row r="5">
          <cell r="A5" t="str">
            <v>Balneologie si Recuperare medicala</v>
          </cell>
          <cell r="B5" t="str">
            <v>1408</v>
          </cell>
          <cell r="C5">
            <v>118478.9</v>
          </cell>
          <cell r="D5">
            <v>116780.2</v>
          </cell>
        </row>
        <row r="6">
          <cell r="A6" t="str">
            <v>SAN FIZ</v>
          </cell>
          <cell r="B6" t="str">
            <v>1409</v>
          </cell>
          <cell r="C6">
            <v>10828.7</v>
          </cell>
          <cell r="D6">
            <v>10646.8</v>
          </cell>
        </row>
        <row r="7">
          <cell r="A7" t="str">
            <v>Centrul Med. SF.PETRU SI PAVEL</v>
          </cell>
          <cell r="B7" t="str">
            <v>1411</v>
          </cell>
          <cell r="C7">
            <v>120290.1</v>
          </cell>
          <cell r="D7">
            <v>117923.3</v>
          </cell>
        </row>
        <row r="8">
          <cell r="A8" t="str">
            <v>Spitalul Orasenesc Hirlau</v>
          </cell>
          <cell r="B8" t="str">
            <v>1412</v>
          </cell>
          <cell r="C8">
            <v>39802.7</v>
          </cell>
          <cell r="D8">
            <v>38776.7</v>
          </cell>
        </row>
        <row r="9">
          <cell r="A9" t="str">
            <v>Spitalul Municipal Pascani</v>
          </cell>
          <cell r="B9" t="str">
            <v>1413</v>
          </cell>
          <cell r="C9">
            <v>40313.4</v>
          </cell>
          <cell r="D9">
            <v>38062.7</v>
          </cell>
        </row>
        <row r="10">
          <cell r="A10" t="str">
            <v>Spitalul Sf.Spiridon</v>
          </cell>
          <cell r="B10" t="str">
            <v>1414</v>
          </cell>
          <cell r="C10">
            <v>319604.7</v>
          </cell>
          <cell r="D10">
            <v>297696.6</v>
          </cell>
        </row>
        <row r="11">
          <cell r="A11" t="str">
            <v>AMITIE VITAL SCM</v>
          </cell>
          <cell r="B11" t="str">
            <v>1432</v>
          </cell>
          <cell r="C11">
            <v>37955.2</v>
          </cell>
          <cell r="D11">
            <v>37179.6</v>
          </cell>
        </row>
        <row r="12">
          <cell r="A12" t="str">
            <v>Centrul Medical COPOU</v>
          </cell>
          <cell r="B12" t="str">
            <v>1494</v>
          </cell>
          <cell r="C12">
            <v>434.1</v>
          </cell>
          <cell r="D12">
            <v>434.1</v>
          </cell>
        </row>
        <row r="13">
          <cell r="A13" t="str">
            <v>CHIRIEAC RODICA MARIETA</v>
          </cell>
          <cell r="B13" t="str">
            <v>1501</v>
          </cell>
          <cell r="C13">
            <v>20619.7</v>
          </cell>
          <cell r="D13">
            <v>19922.2</v>
          </cell>
        </row>
        <row r="14">
          <cell r="A14" t="str">
            <v>BALNEOSAN SRL</v>
          </cell>
          <cell r="B14" t="str">
            <v>1517</v>
          </cell>
          <cell r="C14">
            <v>49161</v>
          </cell>
          <cell r="D14">
            <v>46287.8</v>
          </cell>
        </row>
        <row r="15">
          <cell r="A15" t="str">
            <v>CMA RECUPERARE "NICOLINA"</v>
          </cell>
          <cell r="B15" t="str">
            <v>1585</v>
          </cell>
          <cell r="C15">
            <v>676000.5</v>
          </cell>
          <cell r="D15">
            <v>644228.3</v>
          </cell>
        </row>
        <row r="16">
          <cell r="A16" t="str">
            <v>FIZIOMEDICA SRL</v>
          </cell>
          <cell r="B16" t="str">
            <v>1664</v>
          </cell>
          <cell r="C16">
            <v>39761.5</v>
          </cell>
          <cell r="D16">
            <v>38483.6</v>
          </cell>
        </row>
        <row r="17">
          <cell r="A17" t="str">
            <v>ANCUTA CODRINA IRENA MIHAELA</v>
          </cell>
          <cell r="B17" t="str">
            <v>1665</v>
          </cell>
          <cell r="C17">
            <v>15460.4</v>
          </cell>
          <cell r="D17">
            <v>14540.7</v>
          </cell>
        </row>
        <row r="18">
          <cell r="A18" t="str">
            <v>ANALDA SRL</v>
          </cell>
          <cell r="B18" t="str">
            <v>1822</v>
          </cell>
          <cell r="C18">
            <v>124150.5</v>
          </cell>
          <cell r="D18">
            <v>119428.9</v>
          </cell>
        </row>
        <row r="19">
          <cell r="A19" t="str">
            <v>Cabinet medical Stefania SRL</v>
          </cell>
          <cell r="B19" t="str">
            <v>1824</v>
          </cell>
          <cell r="C19">
            <v>9921.6</v>
          </cell>
          <cell r="D19">
            <v>9503.5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showGridLines="0" zoomScalePageLayoutView="0" workbookViewId="0" topLeftCell="A26">
      <selection activeCell="A45" sqref="A45:IV47"/>
    </sheetView>
  </sheetViews>
  <sheetFormatPr defaultColWidth="9.140625" defaultRowHeight="12.75"/>
  <cols>
    <col min="1" max="1" width="3.7109375" style="1" customWidth="1"/>
    <col min="2" max="2" width="54.00390625" style="43" customWidth="1"/>
    <col min="3" max="3" width="20.8515625" style="44" customWidth="1"/>
    <col min="4" max="4" width="20.8515625" style="45" customWidth="1"/>
    <col min="5" max="6" width="9.140625" style="1" customWidth="1"/>
    <col min="7" max="7" width="8.421875" style="1" customWidth="1"/>
    <col min="8" max="9" width="12.8515625" style="1" customWidth="1"/>
    <col min="10" max="16384" width="9.140625" style="1" customWidth="1"/>
  </cols>
  <sheetData>
    <row r="1" spans="1:4" s="16" customFormat="1" ht="14.25" customHeight="1">
      <c r="A1" s="155" t="s">
        <v>24</v>
      </c>
      <c r="B1" s="155"/>
      <c r="C1" s="155"/>
      <c r="D1" s="155"/>
    </row>
    <row r="2" spans="2:4" s="2" customFormat="1" ht="15">
      <c r="B2" s="30"/>
      <c r="C2" s="19"/>
      <c r="D2" s="18"/>
    </row>
    <row r="3" spans="2:4" s="2" customFormat="1" ht="15">
      <c r="B3" s="30"/>
      <c r="C3" s="19"/>
      <c r="D3" s="5" t="s">
        <v>6</v>
      </c>
    </row>
    <row r="4" spans="1:3" s="2" customFormat="1" ht="36" customHeight="1" thickBot="1">
      <c r="A4" s="153" t="s">
        <v>58</v>
      </c>
      <c r="B4" s="154"/>
      <c r="C4" s="19"/>
    </row>
    <row r="5" spans="1:4" s="31" customFormat="1" ht="27" thickBot="1">
      <c r="A5" s="82" t="s">
        <v>0</v>
      </c>
      <c r="B5" s="83" t="s">
        <v>1</v>
      </c>
      <c r="C5" s="99" t="s">
        <v>54</v>
      </c>
      <c r="D5" s="95" t="s">
        <v>2</v>
      </c>
    </row>
    <row r="6" spans="1:4" s="46" customFormat="1" ht="21" thickBot="1">
      <c r="A6" s="84">
        <v>0</v>
      </c>
      <c r="B6" s="85">
        <v>1</v>
      </c>
      <c r="C6" s="86">
        <v>2</v>
      </c>
      <c r="D6" s="96" t="s">
        <v>9</v>
      </c>
    </row>
    <row r="7" spans="1:21" s="78" customFormat="1" ht="18" customHeight="1">
      <c r="A7" s="77">
        <v>1</v>
      </c>
      <c r="B7" s="134" t="s">
        <v>11</v>
      </c>
      <c r="C7" s="133">
        <f>859.32+25.2+4.8+30-12.5-15</f>
        <v>891.82</v>
      </c>
      <c r="D7" s="123">
        <f aca="true" t="shared" si="0" ref="D7:D13">ROUND(C7/C$39*C$40,2)</f>
        <v>18743.8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</row>
    <row r="8" spans="1:21" s="78" customFormat="1" ht="18" customHeight="1">
      <c r="A8" s="79">
        <f>A7+1</f>
        <v>2</v>
      </c>
      <c r="B8" s="135" t="s">
        <v>55</v>
      </c>
      <c r="C8" s="131">
        <v>1210.6</v>
      </c>
      <c r="D8" s="107">
        <f t="shared" si="0"/>
        <v>25443.75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</row>
    <row r="9" spans="1:21" s="78" customFormat="1" ht="18" customHeight="1">
      <c r="A9" s="79">
        <f aca="true" t="shared" si="1" ref="A9:A38">A8+1</f>
        <v>3</v>
      </c>
      <c r="B9" s="135" t="s">
        <v>36</v>
      </c>
      <c r="C9" s="131">
        <v>736.1</v>
      </c>
      <c r="D9" s="109">
        <f t="shared" si="0"/>
        <v>15470.96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</row>
    <row r="10" spans="1:21" s="50" customFormat="1" ht="18" customHeight="1">
      <c r="A10" s="79">
        <f t="shared" si="1"/>
        <v>4</v>
      </c>
      <c r="B10" s="136" t="s">
        <v>12</v>
      </c>
      <c r="C10" s="131">
        <f>1392+57-40+40</f>
        <v>1449</v>
      </c>
      <c r="D10" s="109">
        <f t="shared" si="0"/>
        <v>30454.31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</row>
    <row r="11" spans="1:21" s="78" customFormat="1" ht="18" customHeight="1">
      <c r="A11" s="79">
        <f t="shared" si="1"/>
        <v>5</v>
      </c>
      <c r="B11" s="135" t="s">
        <v>13</v>
      </c>
      <c r="C11" s="131">
        <f>509.4+20</f>
        <v>529.4</v>
      </c>
      <c r="D11" s="109">
        <f t="shared" si="0"/>
        <v>11126.65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</row>
    <row r="12" spans="1:21" s="78" customFormat="1" ht="18" customHeight="1">
      <c r="A12" s="79">
        <f t="shared" si="1"/>
        <v>6</v>
      </c>
      <c r="B12" s="150" t="s">
        <v>60</v>
      </c>
      <c r="C12" s="131">
        <f>666.6</f>
        <v>666.6</v>
      </c>
      <c r="D12" s="109">
        <f t="shared" si="0"/>
        <v>14010.24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</row>
    <row r="13" spans="1:21" s="50" customFormat="1" ht="18" customHeight="1">
      <c r="A13" s="79">
        <f t="shared" si="1"/>
        <v>7</v>
      </c>
      <c r="B13" s="137" t="s">
        <v>51</v>
      </c>
      <c r="C13" s="131">
        <v>1547</v>
      </c>
      <c r="D13" s="109">
        <f t="shared" si="0"/>
        <v>32514.02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</row>
    <row r="14" spans="1:21" s="78" customFormat="1" ht="40.5" customHeight="1">
      <c r="A14" s="79">
        <f t="shared" si="1"/>
        <v>8</v>
      </c>
      <c r="B14" s="135" t="s">
        <v>37</v>
      </c>
      <c r="C14" s="132">
        <f>3330.8+34-40-15+24-40+30+20+15-4+8</f>
        <v>3362.8</v>
      </c>
      <c r="D14" s="109">
        <f>ROUND(C14/C$39*C$40,2)+0.03</f>
        <v>70677.56999999999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</row>
    <row r="15" spans="1:21" s="50" customFormat="1" ht="18" customHeight="1">
      <c r="A15" s="79">
        <f t="shared" si="1"/>
        <v>9</v>
      </c>
      <c r="B15" s="135" t="s">
        <v>50</v>
      </c>
      <c r="C15" s="131">
        <f>428.2-10</f>
        <v>418.2</v>
      </c>
      <c r="D15" s="109">
        <f aca="true" t="shared" si="2" ref="D15:D38">ROUND(C15/C$39*C$40,2)</f>
        <v>8789.51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</row>
    <row r="16" spans="1:21" s="78" customFormat="1" ht="18" customHeight="1">
      <c r="A16" s="79">
        <f t="shared" si="1"/>
        <v>10</v>
      </c>
      <c r="B16" s="135" t="s">
        <v>38</v>
      </c>
      <c r="C16" s="131">
        <v>374.3</v>
      </c>
      <c r="D16" s="109">
        <f t="shared" si="2"/>
        <v>7866.84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</row>
    <row r="17" spans="1:21" s="78" customFormat="1" ht="18" customHeight="1">
      <c r="A17" s="79">
        <f t="shared" si="1"/>
        <v>11</v>
      </c>
      <c r="B17" s="135" t="s">
        <v>39</v>
      </c>
      <c r="C17" s="131">
        <f>370.25+41</f>
        <v>411.25</v>
      </c>
      <c r="D17" s="109">
        <f t="shared" si="2"/>
        <v>8643.43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</row>
    <row r="18" spans="1:21" s="78" customFormat="1" ht="18" customHeight="1">
      <c r="A18" s="79">
        <f t="shared" si="1"/>
        <v>12</v>
      </c>
      <c r="B18" s="135" t="s">
        <v>23</v>
      </c>
      <c r="C18" s="131">
        <f>847.5-30-45+40+40-25-15+15</f>
        <v>827.5</v>
      </c>
      <c r="D18" s="109">
        <f t="shared" si="2"/>
        <v>17391.96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</row>
    <row r="19" spans="1:21" s="78" customFormat="1" ht="18" customHeight="1">
      <c r="A19" s="79">
        <f t="shared" si="1"/>
        <v>13</v>
      </c>
      <c r="B19" s="135" t="s">
        <v>14</v>
      </c>
      <c r="C19" s="131">
        <f>684.36-20</f>
        <v>664.36</v>
      </c>
      <c r="D19" s="109">
        <f t="shared" si="2"/>
        <v>13963.17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</row>
    <row r="20" spans="1:21" s="78" customFormat="1" ht="18" customHeight="1">
      <c r="A20" s="79">
        <f t="shared" si="1"/>
        <v>14</v>
      </c>
      <c r="B20" s="135" t="s">
        <v>15</v>
      </c>
      <c r="C20" s="131">
        <f>560.4+45+110-15</f>
        <v>700.4</v>
      </c>
      <c r="D20" s="109">
        <f t="shared" si="2"/>
        <v>14720.64</v>
      </c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</row>
    <row r="21" spans="1:21" s="50" customFormat="1" ht="18" customHeight="1">
      <c r="A21" s="79">
        <f t="shared" si="1"/>
        <v>15</v>
      </c>
      <c r="B21" s="135" t="s">
        <v>48</v>
      </c>
      <c r="C21" s="131">
        <f>387.48+15</f>
        <v>402.48</v>
      </c>
      <c r="D21" s="109">
        <f t="shared" si="2"/>
        <v>8459.11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</row>
    <row r="22" spans="1:21" s="78" customFormat="1" ht="18" customHeight="1">
      <c r="A22" s="79">
        <f t="shared" si="1"/>
        <v>16</v>
      </c>
      <c r="B22" s="135" t="s">
        <v>40</v>
      </c>
      <c r="C22" s="131">
        <v>487</v>
      </c>
      <c r="D22" s="109">
        <f t="shared" si="2"/>
        <v>10235.51</v>
      </c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</row>
    <row r="23" spans="1:21" s="80" customFormat="1" ht="18" customHeight="1">
      <c r="A23" s="79">
        <f t="shared" si="1"/>
        <v>17</v>
      </c>
      <c r="B23" s="135" t="s">
        <v>16</v>
      </c>
      <c r="C23" s="131">
        <v>364.4</v>
      </c>
      <c r="D23" s="109">
        <f t="shared" si="2"/>
        <v>7658.77</v>
      </c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</row>
    <row r="24" spans="1:21" s="78" customFormat="1" ht="18" customHeight="1">
      <c r="A24" s="79">
        <f t="shared" si="1"/>
        <v>18</v>
      </c>
      <c r="B24" s="135" t="s">
        <v>56</v>
      </c>
      <c r="C24" s="131">
        <f>677-10+10</f>
        <v>677</v>
      </c>
      <c r="D24" s="109">
        <f t="shared" si="2"/>
        <v>14228.83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</row>
    <row r="25" spans="1:21" s="50" customFormat="1" ht="18" customHeight="1">
      <c r="A25" s="79">
        <f t="shared" si="1"/>
        <v>19</v>
      </c>
      <c r="B25" s="135" t="s">
        <v>49</v>
      </c>
      <c r="C25" s="131">
        <v>681.4</v>
      </c>
      <c r="D25" s="109">
        <f t="shared" si="2"/>
        <v>14321.3</v>
      </c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</row>
    <row r="26" spans="1:21" s="50" customFormat="1" ht="18" customHeight="1">
      <c r="A26" s="79">
        <f t="shared" si="1"/>
        <v>20</v>
      </c>
      <c r="B26" s="135" t="s">
        <v>19</v>
      </c>
      <c r="C26" s="131">
        <v>1391</v>
      </c>
      <c r="D26" s="109">
        <f t="shared" si="2"/>
        <v>29235.3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</row>
    <row r="27" spans="1:21" s="50" customFormat="1" ht="18" customHeight="1">
      <c r="A27" s="79">
        <f t="shared" si="1"/>
        <v>21</v>
      </c>
      <c r="B27" s="135" t="s">
        <v>30</v>
      </c>
      <c r="C27" s="131">
        <v>762.2</v>
      </c>
      <c r="D27" s="109">
        <f t="shared" si="2"/>
        <v>16019.51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</row>
    <row r="28" spans="1:21" s="50" customFormat="1" ht="18" customHeight="1">
      <c r="A28" s="79">
        <f t="shared" si="1"/>
        <v>22</v>
      </c>
      <c r="B28" s="135" t="s">
        <v>41</v>
      </c>
      <c r="C28" s="131">
        <v>743.08</v>
      </c>
      <c r="D28" s="109">
        <f t="shared" si="2"/>
        <v>15617.66</v>
      </c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</row>
    <row r="29" spans="1:21" s="50" customFormat="1" ht="18" customHeight="1">
      <c r="A29" s="79">
        <f t="shared" si="1"/>
        <v>23</v>
      </c>
      <c r="B29" s="135" t="s">
        <v>42</v>
      </c>
      <c r="C29" s="131">
        <f>699-40</f>
        <v>659</v>
      </c>
      <c r="D29" s="109">
        <f t="shared" si="2"/>
        <v>13850.51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</row>
    <row r="30" spans="1:21" s="3" customFormat="1" ht="18" customHeight="1">
      <c r="A30" s="79">
        <f t="shared" si="1"/>
        <v>24</v>
      </c>
      <c r="B30" s="136" t="s">
        <v>57</v>
      </c>
      <c r="C30" s="131">
        <v>372.92999999999995</v>
      </c>
      <c r="D30" s="109">
        <f t="shared" si="2"/>
        <v>7838.04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s="50" customFormat="1" ht="18" customHeight="1">
      <c r="A31" s="79">
        <f t="shared" si="1"/>
        <v>25</v>
      </c>
      <c r="B31" s="135" t="s">
        <v>43</v>
      </c>
      <c r="C31" s="132">
        <f>1024.3+10</f>
        <v>1034.3</v>
      </c>
      <c r="D31" s="109">
        <f t="shared" si="2"/>
        <v>21738.37</v>
      </c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</row>
    <row r="32" spans="1:21" s="50" customFormat="1" ht="18" customHeight="1">
      <c r="A32" s="79">
        <f t="shared" si="1"/>
        <v>26</v>
      </c>
      <c r="B32" s="135" t="s">
        <v>44</v>
      </c>
      <c r="C32" s="131">
        <f>2320.6+15+30+49.2</f>
        <v>2414.7999999999997</v>
      </c>
      <c r="D32" s="109">
        <f t="shared" si="2"/>
        <v>50752.98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</row>
    <row r="33" spans="1:21" s="50" customFormat="1" ht="18" customHeight="1">
      <c r="A33" s="79">
        <f t="shared" si="1"/>
        <v>27</v>
      </c>
      <c r="B33" s="135" t="s">
        <v>45</v>
      </c>
      <c r="C33" s="131">
        <f>584.7+2.5+32.4</f>
        <v>619.6</v>
      </c>
      <c r="D33" s="109">
        <f t="shared" si="2"/>
        <v>13022.42</v>
      </c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</row>
    <row r="34" spans="1:21" s="81" customFormat="1" ht="18" customHeight="1">
      <c r="A34" s="79">
        <f t="shared" si="1"/>
        <v>28</v>
      </c>
      <c r="B34" s="135" t="s">
        <v>20</v>
      </c>
      <c r="C34" s="131">
        <f>865.29-15</f>
        <v>850.29</v>
      </c>
      <c r="D34" s="109">
        <f t="shared" si="2"/>
        <v>17870.94</v>
      </c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</row>
    <row r="35" spans="1:21" s="50" customFormat="1" ht="19.5" customHeight="1">
      <c r="A35" s="79">
        <f t="shared" si="1"/>
        <v>29</v>
      </c>
      <c r="B35" s="135" t="s">
        <v>17</v>
      </c>
      <c r="C35" s="131">
        <f>929.85+15+152+115</f>
        <v>1211.85</v>
      </c>
      <c r="D35" s="109">
        <f t="shared" si="2"/>
        <v>25470.02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</row>
    <row r="36" spans="1:21" s="33" customFormat="1" ht="18" customHeight="1">
      <c r="A36" s="79">
        <f t="shared" si="1"/>
        <v>30</v>
      </c>
      <c r="B36" s="135" t="s">
        <v>46</v>
      </c>
      <c r="C36" s="131">
        <v>621.31</v>
      </c>
      <c r="D36" s="109">
        <f t="shared" si="2"/>
        <v>13058.36</v>
      </c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</row>
    <row r="37" spans="1:21" s="32" customFormat="1" ht="20.25" customHeight="1">
      <c r="A37" s="79">
        <f t="shared" si="1"/>
        <v>31</v>
      </c>
      <c r="B37" s="136" t="s">
        <v>47</v>
      </c>
      <c r="C37" s="131">
        <f>1549.14-7.2</f>
        <v>1541.94</v>
      </c>
      <c r="D37" s="109">
        <f t="shared" si="2"/>
        <v>32407.68</v>
      </c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</row>
    <row r="38" spans="1:21" s="32" customFormat="1" ht="18" customHeight="1">
      <c r="A38" s="79">
        <f t="shared" si="1"/>
        <v>32</v>
      </c>
      <c r="B38" s="136" t="s">
        <v>18</v>
      </c>
      <c r="C38" s="131">
        <v>1230.6</v>
      </c>
      <c r="D38" s="109">
        <f t="shared" si="2"/>
        <v>25864.1</v>
      </c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</row>
    <row r="39" spans="1:21" ht="18" customHeight="1">
      <c r="A39" s="34"/>
      <c r="B39" s="47" t="s">
        <v>3</v>
      </c>
      <c r="C39" s="9">
        <f>SUM(C7:C38)</f>
        <v>29854.51</v>
      </c>
      <c r="D39" s="9">
        <f>SUM(D7:D38)</f>
        <v>627466.2599999999</v>
      </c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1:21" ht="12.75">
      <c r="A40" s="34"/>
      <c r="B40" s="36" t="s">
        <v>21</v>
      </c>
      <c r="C40" s="49">
        <f>C41*0.5-0.01</f>
        <v>627466.24</v>
      </c>
      <c r="D40" s="97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spans="1:4" ht="13.5" thickBot="1">
      <c r="A41" s="37"/>
      <c r="B41" s="22" t="s">
        <v>5</v>
      </c>
      <c r="C41" s="106">
        <v>1254932.5</v>
      </c>
      <c r="D41" s="98"/>
    </row>
    <row r="42" spans="1:4" ht="12.75">
      <c r="A42" s="32"/>
      <c r="B42" s="38"/>
      <c r="C42" s="35"/>
      <c r="D42" s="39"/>
    </row>
    <row r="43" spans="2:4" s="32" customFormat="1" ht="12.75">
      <c r="B43" s="38" t="s">
        <v>4</v>
      </c>
      <c r="C43" s="35">
        <f>ROUND(C40/C39,2)</f>
        <v>21.02</v>
      </c>
      <c r="D43" s="39"/>
    </row>
    <row r="44" spans="2:4" s="32" customFormat="1" ht="12.75">
      <c r="B44" s="38"/>
      <c r="C44" s="35"/>
      <c r="D44" s="39"/>
    </row>
    <row r="45" spans="2:4" ht="12.75">
      <c r="B45" s="40"/>
      <c r="C45" s="41"/>
      <c r="D45" s="42"/>
    </row>
    <row r="46" spans="2:4" ht="12.75">
      <c r="B46" s="40"/>
      <c r="C46" s="41"/>
      <c r="D46" s="42"/>
    </row>
    <row r="47" spans="2:4" ht="12.75">
      <c r="B47" s="40"/>
      <c r="C47" s="41"/>
      <c r="D47" s="42"/>
    </row>
  </sheetData>
  <sheetProtection/>
  <mergeCells count="2">
    <mergeCell ref="A4:B4"/>
    <mergeCell ref="A1:D1"/>
  </mergeCells>
  <printOptions horizontalCentered="1" verticalCentered="1"/>
  <pageMargins left="0.196850393700787" right="0.196850393700787" top="0.24" bottom="0" header="0.17" footer="0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zoomScalePageLayoutView="0" workbookViewId="0" topLeftCell="A1">
      <selection activeCell="A1" sqref="A1:IV10"/>
    </sheetView>
  </sheetViews>
  <sheetFormatPr defaultColWidth="9.140625" defaultRowHeight="12.75"/>
  <cols>
    <col min="1" max="1" width="3.57421875" style="1" customWidth="1"/>
    <col min="2" max="2" width="38.28125" style="1" customWidth="1"/>
    <col min="3" max="3" width="17.421875" style="3" customWidth="1"/>
    <col min="4" max="4" width="25.140625" style="1" customWidth="1"/>
    <col min="5" max="5" width="28.140625" style="1" hidden="1" customWidth="1"/>
    <col min="6" max="16384" width="9.140625" style="1" customWidth="1"/>
  </cols>
  <sheetData>
    <row r="1" spans="1:5" s="16" customFormat="1" ht="13.5">
      <c r="A1" s="158" t="s">
        <v>25</v>
      </c>
      <c r="B1" s="159"/>
      <c r="C1" s="159"/>
      <c r="D1" s="159"/>
      <c r="E1" s="75"/>
    </row>
    <row r="2" s="2" customFormat="1" ht="15"/>
    <row r="3" s="2" customFormat="1" ht="15">
      <c r="C3" s="4"/>
    </row>
    <row r="4" spans="2:5" s="2" customFormat="1" ht="15.75" thickBot="1">
      <c r="B4" s="153" t="str">
        <f>evaluare!A4</f>
        <v>31/12/2020</v>
      </c>
      <c r="C4" s="154"/>
      <c r="D4" s="5" t="s">
        <v>7</v>
      </c>
      <c r="E4" s="5"/>
    </row>
    <row r="5" spans="1:5" s="3" customFormat="1" ht="39.75" thickBot="1">
      <c r="A5" s="87" t="s">
        <v>0</v>
      </c>
      <c r="B5" s="88" t="s">
        <v>1</v>
      </c>
      <c r="C5" s="138" t="s">
        <v>54</v>
      </c>
      <c r="D5" s="145" t="s">
        <v>31</v>
      </c>
      <c r="E5" s="156" t="s">
        <v>52</v>
      </c>
    </row>
    <row r="6" spans="1:5" s="6" customFormat="1" ht="27" thickBot="1">
      <c r="A6" s="90">
        <v>0</v>
      </c>
      <c r="B6" s="91">
        <v>1</v>
      </c>
      <c r="C6" s="139">
        <v>2</v>
      </c>
      <c r="D6" s="146" t="s">
        <v>32</v>
      </c>
      <c r="E6" s="157"/>
    </row>
    <row r="7" spans="1:5" s="32" customFormat="1" ht="12.75">
      <c r="A7" s="100">
        <v>1</v>
      </c>
      <c r="B7" s="134" t="s">
        <v>11</v>
      </c>
      <c r="C7" s="107">
        <v>138</v>
      </c>
      <c r="D7" s="147">
        <f aca="true" t="shared" si="0" ref="D7:D13">ROUND(C7/C$39*C$40,2)</f>
        <v>9555.32</v>
      </c>
      <c r="E7" s="140"/>
    </row>
    <row r="8" spans="1:5" s="32" customFormat="1" ht="12.75">
      <c r="A8" s="101">
        <f>A7+1</f>
        <v>2</v>
      </c>
      <c r="B8" s="135" t="s">
        <v>55</v>
      </c>
      <c r="C8" s="109">
        <v>456</v>
      </c>
      <c r="D8" s="148">
        <f t="shared" si="0"/>
        <v>31574.11</v>
      </c>
      <c r="E8" s="141"/>
    </row>
    <row r="9" spans="1:5" s="32" customFormat="1" ht="12.75">
      <c r="A9" s="101">
        <f aca="true" t="shared" si="1" ref="A9:A38">A8+1</f>
        <v>3</v>
      </c>
      <c r="B9" s="135" t="s">
        <v>36</v>
      </c>
      <c r="C9" s="109">
        <v>122</v>
      </c>
      <c r="D9" s="148">
        <f t="shared" si="0"/>
        <v>8447.46</v>
      </c>
      <c r="E9" s="141"/>
    </row>
    <row r="10" spans="1:5" s="32" customFormat="1" ht="12.75">
      <c r="A10" s="101">
        <f t="shared" si="1"/>
        <v>4</v>
      </c>
      <c r="B10" s="135" t="s">
        <v>12</v>
      </c>
      <c r="C10" s="109">
        <v>150</v>
      </c>
      <c r="D10" s="148">
        <f t="shared" si="0"/>
        <v>10386.22</v>
      </c>
      <c r="E10" s="141"/>
    </row>
    <row r="11" spans="1:5" s="32" customFormat="1" ht="12.75">
      <c r="A11" s="101">
        <f t="shared" si="1"/>
        <v>5</v>
      </c>
      <c r="B11" s="135" t="s">
        <v>13</v>
      </c>
      <c r="C11" s="109">
        <v>123</v>
      </c>
      <c r="D11" s="148">
        <f t="shared" si="0"/>
        <v>8516.7</v>
      </c>
      <c r="E11" s="141"/>
    </row>
    <row r="12" spans="1:5" s="32" customFormat="1" ht="12.75">
      <c r="A12" s="101">
        <f t="shared" si="1"/>
        <v>6</v>
      </c>
      <c r="B12" s="150" t="s">
        <v>60</v>
      </c>
      <c r="C12" s="151">
        <f>101</f>
        <v>101</v>
      </c>
      <c r="D12" s="148">
        <f t="shared" si="0"/>
        <v>6993.39</v>
      </c>
      <c r="E12" s="141"/>
    </row>
    <row r="13" spans="1:5" s="32" customFormat="1" ht="12.75">
      <c r="A13" s="101">
        <f t="shared" si="1"/>
        <v>7</v>
      </c>
      <c r="B13" s="137" t="s">
        <v>51</v>
      </c>
      <c r="C13" s="109">
        <v>278</v>
      </c>
      <c r="D13" s="148">
        <f t="shared" si="0"/>
        <v>19249.13</v>
      </c>
      <c r="E13" s="141"/>
    </row>
    <row r="14" spans="1:5" s="32" customFormat="1" ht="12.75">
      <c r="A14" s="101">
        <f t="shared" si="1"/>
        <v>8</v>
      </c>
      <c r="B14" s="135" t="s">
        <v>37</v>
      </c>
      <c r="C14" s="109">
        <v>161</v>
      </c>
      <c r="D14" s="148">
        <f>ROUND(C14/C$39*C$40,2)+0.02</f>
        <v>11147.9</v>
      </c>
      <c r="E14" s="141"/>
    </row>
    <row r="15" spans="1:5" s="32" customFormat="1" ht="22.5">
      <c r="A15" s="101">
        <f t="shared" si="1"/>
        <v>9</v>
      </c>
      <c r="B15" s="135" t="s">
        <v>50</v>
      </c>
      <c r="C15" s="109">
        <v>71</v>
      </c>
      <c r="D15" s="148">
        <f aca="true" t="shared" si="2" ref="D15:D38">ROUND(C15/C$39*C$40,2)</f>
        <v>4916.14</v>
      </c>
      <c r="E15" s="141"/>
    </row>
    <row r="16" spans="1:5" s="32" customFormat="1" ht="12.75">
      <c r="A16" s="101">
        <f t="shared" si="1"/>
        <v>10</v>
      </c>
      <c r="B16" s="135" t="s">
        <v>38</v>
      </c>
      <c r="C16" s="109">
        <v>144</v>
      </c>
      <c r="D16" s="148">
        <f t="shared" si="2"/>
        <v>9970.77</v>
      </c>
      <c r="E16" s="141"/>
    </row>
    <row r="17" spans="1:5" s="32" customFormat="1" ht="12.75">
      <c r="A17" s="101">
        <f t="shared" si="1"/>
        <v>11</v>
      </c>
      <c r="B17" s="135" t="s">
        <v>39</v>
      </c>
      <c r="C17" s="109">
        <f>65+63</f>
        <v>128</v>
      </c>
      <c r="D17" s="148">
        <f t="shared" si="2"/>
        <v>8862.91</v>
      </c>
      <c r="E17" s="141"/>
    </row>
    <row r="18" spans="1:5" s="32" customFormat="1" ht="12.75">
      <c r="A18" s="101">
        <f t="shared" si="1"/>
        <v>12</v>
      </c>
      <c r="B18" s="135" t="s">
        <v>23</v>
      </c>
      <c r="C18" s="109">
        <v>157</v>
      </c>
      <c r="D18" s="148">
        <f t="shared" si="2"/>
        <v>10870.91</v>
      </c>
      <c r="E18" s="141"/>
    </row>
    <row r="19" spans="1:5" s="32" customFormat="1" ht="12.75">
      <c r="A19" s="101">
        <f t="shared" si="1"/>
        <v>13</v>
      </c>
      <c r="B19" s="135" t="s">
        <v>14</v>
      </c>
      <c r="C19" s="109">
        <v>161</v>
      </c>
      <c r="D19" s="148">
        <f t="shared" si="2"/>
        <v>11147.88</v>
      </c>
      <c r="E19" s="141"/>
    </row>
    <row r="20" spans="1:5" s="33" customFormat="1" ht="12.75">
      <c r="A20" s="101">
        <f t="shared" si="1"/>
        <v>14</v>
      </c>
      <c r="B20" s="135" t="s">
        <v>15</v>
      </c>
      <c r="C20" s="109">
        <v>120</v>
      </c>
      <c r="D20" s="148">
        <f t="shared" si="2"/>
        <v>8308.98</v>
      </c>
      <c r="E20" s="141"/>
    </row>
    <row r="21" spans="1:5" s="32" customFormat="1" ht="12.75">
      <c r="A21" s="101">
        <f t="shared" si="1"/>
        <v>15</v>
      </c>
      <c r="B21" s="135" t="s">
        <v>48</v>
      </c>
      <c r="C21" s="109">
        <v>72</v>
      </c>
      <c r="D21" s="148">
        <f t="shared" si="2"/>
        <v>4985.39</v>
      </c>
      <c r="E21" s="141"/>
    </row>
    <row r="22" spans="1:5" s="32" customFormat="1" ht="12.75">
      <c r="A22" s="101">
        <f t="shared" si="1"/>
        <v>16</v>
      </c>
      <c r="B22" s="135" t="s">
        <v>40</v>
      </c>
      <c r="C22" s="109">
        <v>140</v>
      </c>
      <c r="D22" s="148">
        <f t="shared" si="2"/>
        <v>9693.81</v>
      </c>
      <c r="E22" s="141"/>
    </row>
    <row r="23" spans="1:5" s="32" customFormat="1" ht="12.75">
      <c r="A23" s="101">
        <f t="shared" si="1"/>
        <v>17</v>
      </c>
      <c r="B23" s="135" t="s">
        <v>16</v>
      </c>
      <c r="C23" s="109">
        <v>151</v>
      </c>
      <c r="D23" s="148">
        <f t="shared" si="2"/>
        <v>10455.46</v>
      </c>
      <c r="E23" s="141"/>
    </row>
    <row r="24" spans="1:5" s="32" customFormat="1" ht="12.75">
      <c r="A24" s="101">
        <f t="shared" si="1"/>
        <v>18</v>
      </c>
      <c r="B24" s="135" t="s">
        <v>56</v>
      </c>
      <c r="C24" s="109">
        <v>135</v>
      </c>
      <c r="D24" s="148">
        <f t="shared" si="2"/>
        <v>9347.6</v>
      </c>
      <c r="E24" s="141"/>
    </row>
    <row r="25" spans="1:5" s="32" customFormat="1" ht="12.75">
      <c r="A25" s="101">
        <f t="shared" si="1"/>
        <v>19</v>
      </c>
      <c r="B25" s="135" t="s">
        <v>49</v>
      </c>
      <c r="C25" s="109">
        <v>131</v>
      </c>
      <c r="D25" s="148">
        <f t="shared" si="2"/>
        <v>9070.63</v>
      </c>
      <c r="E25" s="141"/>
    </row>
    <row r="26" spans="1:5" s="32" customFormat="1" ht="12.75">
      <c r="A26" s="101">
        <f t="shared" si="1"/>
        <v>20</v>
      </c>
      <c r="B26" s="135" t="s">
        <v>19</v>
      </c>
      <c r="C26" s="109">
        <v>151</v>
      </c>
      <c r="D26" s="148">
        <f t="shared" si="2"/>
        <v>10455.46</v>
      </c>
      <c r="E26" s="141"/>
    </row>
    <row r="27" spans="1:5" s="32" customFormat="1" ht="26.25">
      <c r="A27" s="101">
        <f t="shared" si="1"/>
        <v>21</v>
      </c>
      <c r="B27" s="135" t="s">
        <v>30</v>
      </c>
      <c r="C27" s="109">
        <v>84</v>
      </c>
      <c r="D27" s="148">
        <f t="shared" si="2"/>
        <v>5816.28</v>
      </c>
      <c r="E27" s="142" t="s">
        <v>53</v>
      </c>
    </row>
    <row r="28" spans="1:5" s="32" customFormat="1" ht="12.75">
      <c r="A28" s="101">
        <f t="shared" si="1"/>
        <v>22</v>
      </c>
      <c r="B28" s="135" t="s">
        <v>41</v>
      </c>
      <c r="C28" s="109">
        <v>113</v>
      </c>
      <c r="D28" s="148">
        <f t="shared" si="2"/>
        <v>7824.29</v>
      </c>
      <c r="E28" s="141"/>
    </row>
    <row r="29" spans="1:5" s="32" customFormat="1" ht="12.75">
      <c r="A29" s="101">
        <f t="shared" si="1"/>
        <v>23</v>
      </c>
      <c r="B29" s="135" t="s">
        <v>42</v>
      </c>
      <c r="C29" s="109">
        <v>71</v>
      </c>
      <c r="D29" s="148">
        <f t="shared" si="2"/>
        <v>4916.14</v>
      </c>
      <c r="E29" s="141"/>
    </row>
    <row r="30" spans="1:5" s="32" customFormat="1" ht="12.75">
      <c r="A30" s="101">
        <f t="shared" si="1"/>
        <v>24</v>
      </c>
      <c r="B30" s="136" t="s">
        <v>57</v>
      </c>
      <c r="C30" s="109">
        <v>91</v>
      </c>
      <c r="D30" s="148">
        <f t="shared" si="2"/>
        <v>6300.97</v>
      </c>
      <c r="E30" s="141"/>
    </row>
    <row r="31" spans="1:5" s="32" customFormat="1" ht="22.5">
      <c r="A31" s="101">
        <f t="shared" si="1"/>
        <v>25</v>
      </c>
      <c r="B31" s="135" t="s">
        <v>43</v>
      </c>
      <c r="C31" s="109">
        <v>119</v>
      </c>
      <c r="D31" s="148">
        <f t="shared" si="2"/>
        <v>8239.74</v>
      </c>
      <c r="E31" s="141"/>
    </row>
    <row r="32" spans="1:5" s="32" customFormat="1" ht="22.5">
      <c r="A32" s="101">
        <f t="shared" si="1"/>
        <v>26</v>
      </c>
      <c r="B32" s="135" t="s">
        <v>44</v>
      </c>
      <c r="C32" s="109">
        <v>159</v>
      </c>
      <c r="D32" s="148">
        <f t="shared" si="2"/>
        <v>11009.39</v>
      </c>
      <c r="E32" s="141"/>
    </row>
    <row r="33" spans="1:5" s="32" customFormat="1" ht="12.75">
      <c r="A33" s="101">
        <f t="shared" si="1"/>
        <v>27</v>
      </c>
      <c r="B33" s="135" t="s">
        <v>45</v>
      </c>
      <c r="C33" s="109">
        <f>74-8</f>
        <v>66</v>
      </c>
      <c r="D33" s="148">
        <f t="shared" si="2"/>
        <v>4569.94</v>
      </c>
      <c r="E33" s="141"/>
    </row>
    <row r="34" spans="1:5" s="32" customFormat="1" ht="12.75">
      <c r="A34" s="101">
        <f t="shared" si="1"/>
        <v>28</v>
      </c>
      <c r="B34" s="135" t="s">
        <v>20</v>
      </c>
      <c r="C34" s="109">
        <f>144</f>
        <v>144</v>
      </c>
      <c r="D34" s="148">
        <f t="shared" si="2"/>
        <v>9970.77</v>
      </c>
      <c r="E34" s="141"/>
    </row>
    <row r="35" spans="1:5" s="32" customFormat="1" ht="12.75">
      <c r="A35" s="101">
        <f t="shared" si="1"/>
        <v>29</v>
      </c>
      <c r="B35" s="135" t="s">
        <v>17</v>
      </c>
      <c r="C35" s="109">
        <v>155</v>
      </c>
      <c r="D35" s="148">
        <f t="shared" si="2"/>
        <v>10732.43</v>
      </c>
      <c r="E35" s="141"/>
    </row>
    <row r="36" spans="1:5" s="32" customFormat="1" ht="12.75">
      <c r="A36" s="101">
        <f t="shared" si="1"/>
        <v>30</v>
      </c>
      <c r="B36" s="135" t="s">
        <v>46</v>
      </c>
      <c r="C36" s="109">
        <v>130</v>
      </c>
      <c r="D36" s="148">
        <f t="shared" si="2"/>
        <v>9001.39</v>
      </c>
      <c r="E36" s="141"/>
    </row>
    <row r="37" spans="1:5" s="32" customFormat="1" ht="12.75">
      <c r="A37" s="101">
        <f t="shared" si="1"/>
        <v>31</v>
      </c>
      <c r="B37" s="136" t="s">
        <v>47</v>
      </c>
      <c r="C37" s="109">
        <v>156</v>
      </c>
      <c r="D37" s="148">
        <f t="shared" si="2"/>
        <v>10801.67</v>
      </c>
      <c r="E37" s="141"/>
    </row>
    <row r="38" spans="1:5" s="32" customFormat="1" ht="12.75">
      <c r="A38" s="101">
        <f t="shared" si="1"/>
        <v>32</v>
      </c>
      <c r="B38" s="136" t="s">
        <v>18</v>
      </c>
      <c r="C38" s="109">
        <v>153</v>
      </c>
      <c r="D38" s="148">
        <f t="shared" si="2"/>
        <v>10593.95</v>
      </c>
      <c r="E38" s="141"/>
    </row>
    <row r="39" spans="1:5" s="3" customFormat="1" ht="13.5" thickBot="1">
      <c r="A39" s="10"/>
      <c r="B39" s="25" t="s">
        <v>3</v>
      </c>
      <c r="C39" s="108">
        <f>SUM(C7:C38)</f>
        <v>4531</v>
      </c>
      <c r="D39" s="149">
        <f>SUM(D7:D38)</f>
        <v>313733.13000000006</v>
      </c>
      <c r="E39" s="143"/>
    </row>
    <row r="40" spans="1:5" s="32" customFormat="1" ht="13.5" thickBot="1">
      <c r="A40" s="37"/>
      <c r="B40" s="26" t="s">
        <v>27</v>
      </c>
      <c r="C40" s="110">
        <f>ROUND(evaluare!C41*0.5*0.5,2)</f>
        <v>313733.13</v>
      </c>
      <c r="D40" s="144"/>
      <c r="E40" s="110"/>
    </row>
    <row r="41" spans="2:5" s="32" customFormat="1" ht="12.75">
      <c r="B41" s="103"/>
      <c r="C41" s="11"/>
      <c r="D41" s="103"/>
      <c r="E41" s="103"/>
    </row>
    <row r="42" spans="2:5" s="32" customFormat="1" ht="12.75">
      <c r="B42" s="28" t="s">
        <v>4</v>
      </c>
      <c r="C42" s="7">
        <f>ROUND(C40/C39,2)</f>
        <v>69.24</v>
      </c>
      <c r="D42" s="39"/>
      <c r="E42" s="39"/>
    </row>
    <row r="43" spans="2:5" s="32" customFormat="1" ht="12.75">
      <c r="B43" s="103"/>
      <c r="C43" s="7"/>
      <c r="D43" s="39"/>
      <c r="E43" s="39"/>
    </row>
  </sheetData>
  <sheetProtection/>
  <mergeCells count="3">
    <mergeCell ref="E5:E6"/>
    <mergeCell ref="A1:D1"/>
    <mergeCell ref="B4:C4"/>
  </mergeCells>
  <printOptions horizontalCentered="1" verticalCentered="1"/>
  <pageMargins left="0.35433070866141736" right="0.15748031496062992" top="0.24" bottom="0.25" header="0.11811023622047245" footer="0.17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zoomScalePageLayoutView="0" workbookViewId="0" topLeftCell="A1">
      <selection activeCell="A1" sqref="A1:IV10"/>
    </sheetView>
  </sheetViews>
  <sheetFormatPr defaultColWidth="9.140625" defaultRowHeight="12.75"/>
  <cols>
    <col min="1" max="1" width="3.57421875" style="1" customWidth="1"/>
    <col min="2" max="2" width="42.28125" style="1" customWidth="1"/>
    <col min="3" max="3" width="21.8515625" style="8" customWidth="1"/>
    <col min="4" max="4" width="16.7109375" style="1" customWidth="1"/>
    <col min="5" max="16384" width="9.140625" style="1" customWidth="1"/>
  </cols>
  <sheetData>
    <row r="1" spans="1:4" s="74" customFormat="1" ht="36" customHeight="1">
      <c r="A1" s="158" t="s">
        <v>26</v>
      </c>
      <c r="B1" s="160"/>
      <c r="C1" s="160"/>
      <c r="D1" s="160"/>
    </row>
    <row r="3" spans="2:3" s="2" customFormat="1" ht="15">
      <c r="B3" s="4"/>
      <c r="C3" s="19"/>
    </row>
    <row r="4" spans="2:4" s="2" customFormat="1" ht="15.75" thickBot="1">
      <c r="B4" s="153" t="str">
        <f>evaluare!A4</f>
        <v>31/12/2020</v>
      </c>
      <c r="C4" s="154"/>
      <c r="D4" s="5" t="s">
        <v>8</v>
      </c>
    </row>
    <row r="5" spans="1:4" s="3" customFormat="1" ht="39.75" thickBot="1">
      <c r="A5" s="87" t="s">
        <v>0</v>
      </c>
      <c r="B5" s="88" t="s">
        <v>1</v>
      </c>
      <c r="C5" s="99" t="s">
        <v>54</v>
      </c>
      <c r="D5" s="115" t="s">
        <v>31</v>
      </c>
    </row>
    <row r="6" spans="1:4" s="6" customFormat="1" ht="27" thickBot="1">
      <c r="A6" s="93">
        <v>0</v>
      </c>
      <c r="B6" s="91">
        <v>1</v>
      </c>
      <c r="C6" s="94">
        <v>2</v>
      </c>
      <c r="D6" s="116" t="s">
        <v>33</v>
      </c>
    </row>
    <row r="7" spans="1:4" s="24" customFormat="1" ht="12.75">
      <c r="A7" s="89">
        <v>1</v>
      </c>
      <c r="B7" s="134" t="s">
        <v>11</v>
      </c>
      <c r="C7" s="122">
        <v>895</v>
      </c>
      <c r="D7" s="104">
        <f>ROUND(C7/C$39*C$40,2)</f>
        <v>12643.69</v>
      </c>
    </row>
    <row r="8" spans="1:4" s="24" customFormat="1" ht="12.75">
      <c r="A8" s="12">
        <f>A7+1</f>
        <v>2</v>
      </c>
      <c r="B8" s="135" t="s">
        <v>55</v>
      </c>
      <c r="C8" s="102">
        <v>2224</v>
      </c>
      <c r="D8" s="105">
        <f>ROUND(C8/C$39*C$40,2)</f>
        <v>31418.52</v>
      </c>
    </row>
    <row r="9" spans="1:4" s="24" customFormat="1" ht="12.75">
      <c r="A9" s="12">
        <f aca="true" t="shared" si="0" ref="A9:A38">A8+1</f>
        <v>3</v>
      </c>
      <c r="B9" s="135" t="s">
        <v>36</v>
      </c>
      <c r="C9" s="102">
        <v>396</v>
      </c>
      <c r="D9" s="105">
        <f>ROUND(C9/C$39*C$40,2)</f>
        <v>5594.3</v>
      </c>
    </row>
    <row r="10" spans="1:4" s="24" customFormat="1" ht="12.75">
      <c r="A10" s="12">
        <f t="shared" si="0"/>
        <v>4</v>
      </c>
      <c r="B10" s="135" t="s">
        <v>12</v>
      </c>
      <c r="C10" s="23">
        <v>868</v>
      </c>
      <c r="D10" s="105">
        <f>ROUND(C10/C$39*C$40,2)</f>
        <v>12262.26</v>
      </c>
    </row>
    <row r="11" spans="1:4" s="24" customFormat="1" ht="12.75">
      <c r="A11" s="12">
        <f t="shared" si="0"/>
        <v>5</v>
      </c>
      <c r="B11" s="135" t="s">
        <v>13</v>
      </c>
      <c r="C11" s="23">
        <v>490</v>
      </c>
      <c r="D11" s="105">
        <f>ROUND(C11/C$39*C$40,2)</f>
        <v>6922.25</v>
      </c>
    </row>
    <row r="12" spans="1:4" s="24" customFormat="1" ht="12.75">
      <c r="A12" s="12">
        <f t="shared" si="0"/>
        <v>6</v>
      </c>
      <c r="B12" s="150" t="s">
        <v>60</v>
      </c>
      <c r="C12" s="152">
        <f>248</f>
        <v>248</v>
      </c>
      <c r="D12" s="105">
        <f>ROUND(C12/C$39*C$40,2)+0.02</f>
        <v>3503.52</v>
      </c>
    </row>
    <row r="13" spans="1:4" s="24" customFormat="1" ht="12.75">
      <c r="A13" s="12">
        <f t="shared" si="0"/>
        <v>7</v>
      </c>
      <c r="B13" s="137" t="s">
        <v>51</v>
      </c>
      <c r="C13" s="102">
        <v>316</v>
      </c>
      <c r="D13" s="105">
        <f aca="true" t="shared" si="1" ref="D13:D38">ROUND(C13/C$39*C$40,2)</f>
        <v>4464.14</v>
      </c>
    </row>
    <row r="14" spans="1:4" s="24" customFormat="1" ht="12.75">
      <c r="A14" s="12">
        <f t="shared" si="0"/>
        <v>8</v>
      </c>
      <c r="B14" s="135" t="s">
        <v>37</v>
      </c>
      <c r="C14" s="102">
        <v>1300</v>
      </c>
      <c r="D14" s="105">
        <f t="shared" si="1"/>
        <v>18365.14</v>
      </c>
    </row>
    <row r="15" spans="1:4" s="24" customFormat="1" ht="12.75">
      <c r="A15" s="12">
        <f t="shared" si="0"/>
        <v>9</v>
      </c>
      <c r="B15" s="135" t="s">
        <v>50</v>
      </c>
      <c r="C15" s="23">
        <v>443</v>
      </c>
      <c r="D15" s="105">
        <f t="shared" si="1"/>
        <v>6258.28</v>
      </c>
    </row>
    <row r="16" spans="1:4" s="24" customFormat="1" ht="12.75">
      <c r="A16" s="12">
        <f t="shared" si="0"/>
        <v>10</v>
      </c>
      <c r="B16" s="135" t="s">
        <v>38</v>
      </c>
      <c r="C16" s="23">
        <v>576</v>
      </c>
      <c r="D16" s="105">
        <f t="shared" si="1"/>
        <v>8137.17</v>
      </c>
    </row>
    <row r="17" spans="1:4" s="24" customFormat="1" ht="12.75">
      <c r="A17" s="12">
        <f t="shared" si="0"/>
        <v>11</v>
      </c>
      <c r="B17" s="135" t="s">
        <v>39</v>
      </c>
      <c r="C17" s="23">
        <v>300</v>
      </c>
      <c r="D17" s="105">
        <f t="shared" si="1"/>
        <v>4238.11</v>
      </c>
    </row>
    <row r="18" spans="1:4" s="24" customFormat="1" ht="12.75">
      <c r="A18" s="12">
        <f t="shared" si="0"/>
        <v>12</v>
      </c>
      <c r="B18" s="135" t="s">
        <v>23</v>
      </c>
      <c r="C18" s="23">
        <v>340</v>
      </c>
      <c r="D18" s="105">
        <f t="shared" si="1"/>
        <v>4803.19</v>
      </c>
    </row>
    <row r="19" spans="1:4" s="24" customFormat="1" ht="12.75">
      <c r="A19" s="12">
        <f t="shared" si="0"/>
        <v>13</v>
      </c>
      <c r="B19" s="135" t="s">
        <v>14</v>
      </c>
      <c r="C19" s="29">
        <v>1128</v>
      </c>
      <c r="D19" s="105">
        <f t="shared" si="1"/>
        <v>15935.29</v>
      </c>
    </row>
    <row r="20" spans="1:4" s="50" customFormat="1" ht="12.75">
      <c r="A20" s="12">
        <f t="shared" si="0"/>
        <v>14</v>
      </c>
      <c r="B20" s="135" t="s">
        <v>15</v>
      </c>
      <c r="C20" s="23">
        <v>696</v>
      </c>
      <c r="D20" s="105">
        <f t="shared" si="1"/>
        <v>9832.41</v>
      </c>
    </row>
    <row r="21" spans="1:4" s="24" customFormat="1" ht="12.75">
      <c r="A21" s="12">
        <f t="shared" si="0"/>
        <v>15</v>
      </c>
      <c r="B21" s="135" t="s">
        <v>48</v>
      </c>
      <c r="C21" s="23">
        <v>443</v>
      </c>
      <c r="D21" s="105">
        <f t="shared" si="1"/>
        <v>6258.28</v>
      </c>
    </row>
    <row r="22" spans="1:4" s="50" customFormat="1" ht="12.75">
      <c r="A22" s="12">
        <f t="shared" si="0"/>
        <v>16</v>
      </c>
      <c r="B22" s="135" t="s">
        <v>40</v>
      </c>
      <c r="C22" s="29">
        <v>414</v>
      </c>
      <c r="D22" s="105">
        <f t="shared" si="1"/>
        <v>5848.59</v>
      </c>
    </row>
    <row r="23" spans="1:4" s="24" customFormat="1" ht="12.75">
      <c r="A23" s="12">
        <f t="shared" si="0"/>
        <v>17</v>
      </c>
      <c r="B23" s="135" t="s">
        <v>16</v>
      </c>
      <c r="C23" s="102">
        <v>600</v>
      </c>
      <c r="D23" s="105">
        <f t="shared" si="1"/>
        <v>8476.22</v>
      </c>
    </row>
    <row r="24" spans="1:4" s="24" customFormat="1" ht="12.75">
      <c r="A24" s="12">
        <f t="shared" si="0"/>
        <v>18</v>
      </c>
      <c r="B24" s="135" t="s">
        <v>56</v>
      </c>
      <c r="C24" s="23">
        <v>713</v>
      </c>
      <c r="D24" s="105">
        <f t="shared" si="1"/>
        <v>10072.57</v>
      </c>
    </row>
    <row r="25" spans="1:4" s="24" customFormat="1" ht="12.75">
      <c r="A25" s="12">
        <f t="shared" si="0"/>
        <v>19</v>
      </c>
      <c r="B25" s="135" t="s">
        <v>49</v>
      </c>
      <c r="C25" s="23">
        <v>831</v>
      </c>
      <c r="D25" s="105">
        <f t="shared" si="1"/>
        <v>11739.56</v>
      </c>
    </row>
    <row r="26" spans="1:4" s="24" customFormat="1" ht="12.75">
      <c r="A26" s="12">
        <f t="shared" si="0"/>
        <v>20</v>
      </c>
      <c r="B26" s="135" t="s">
        <v>19</v>
      </c>
      <c r="C26" s="23">
        <v>1028</v>
      </c>
      <c r="D26" s="105">
        <f t="shared" si="1"/>
        <v>14522.59</v>
      </c>
    </row>
    <row r="27" spans="1:4" s="24" customFormat="1" ht="12.75">
      <c r="A27" s="12">
        <f t="shared" si="0"/>
        <v>21</v>
      </c>
      <c r="B27" s="135" t="s">
        <v>30</v>
      </c>
      <c r="C27" s="23">
        <v>720</v>
      </c>
      <c r="D27" s="105">
        <f t="shared" si="1"/>
        <v>10171.46</v>
      </c>
    </row>
    <row r="28" spans="1:4" s="24" customFormat="1" ht="12.75">
      <c r="A28" s="12">
        <f t="shared" si="0"/>
        <v>22</v>
      </c>
      <c r="B28" s="135" t="s">
        <v>41</v>
      </c>
      <c r="C28" s="102">
        <v>360</v>
      </c>
      <c r="D28" s="105">
        <f t="shared" si="1"/>
        <v>5085.73</v>
      </c>
    </row>
    <row r="29" spans="1:4" s="24" customFormat="1" ht="12.75">
      <c r="A29" s="12">
        <f t="shared" si="0"/>
        <v>23</v>
      </c>
      <c r="B29" s="135" t="s">
        <v>42</v>
      </c>
      <c r="C29" s="102">
        <v>320</v>
      </c>
      <c r="D29" s="105">
        <f t="shared" si="1"/>
        <v>4520.65</v>
      </c>
    </row>
    <row r="30" spans="1:4" s="32" customFormat="1" ht="12.75">
      <c r="A30" s="12">
        <f t="shared" si="0"/>
        <v>24</v>
      </c>
      <c r="B30" s="136" t="s">
        <v>57</v>
      </c>
      <c r="C30" s="102">
        <v>232</v>
      </c>
      <c r="D30" s="109">
        <f t="shared" si="1"/>
        <v>3277.47</v>
      </c>
    </row>
    <row r="31" spans="1:4" s="24" customFormat="1" ht="22.5">
      <c r="A31" s="12">
        <f t="shared" si="0"/>
        <v>25</v>
      </c>
      <c r="B31" s="135" t="s">
        <v>43</v>
      </c>
      <c r="C31" s="102">
        <v>336</v>
      </c>
      <c r="D31" s="105">
        <f t="shared" si="1"/>
        <v>4746.68</v>
      </c>
    </row>
    <row r="32" spans="1:4" s="24" customFormat="1" ht="22.5">
      <c r="A32" s="12">
        <f t="shared" si="0"/>
        <v>26</v>
      </c>
      <c r="B32" s="135" t="s">
        <v>44</v>
      </c>
      <c r="C32" s="23">
        <v>1048</v>
      </c>
      <c r="D32" s="105">
        <f t="shared" si="1"/>
        <v>14805.13</v>
      </c>
    </row>
    <row r="33" spans="1:4" s="24" customFormat="1" ht="12.75">
      <c r="A33" s="12">
        <f t="shared" si="0"/>
        <v>27</v>
      </c>
      <c r="B33" s="135" t="s">
        <v>45</v>
      </c>
      <c r="C33" s="23">
        <v>298</v>
      </c>
      <c r="D33" s="105">
        <f t="shared" si="1"/>
        <v>4209.86</v>
      </c>
    </row>
    <row r="34" spans="1:4" s="24" customFormat="1" ht="12.75">
      <c r="A34" s="12">
        <f t="shared" si="0"/>
        <v>28</v>
      </c>
      <c r="B34" s="135" t="s">
        <v>20</v>
      </c>
      <c r="C34" s="23">
        <f>600</f>
        <v>600</v>
      </c>
      <c r="D34" s="105">
        <f t="shared" si="1"/>
        <v>8476.22</v>
      </c>
    </row>
    <row r="35" spans="1:4" s="24" customFormat="1" ht="12.75">
      <c r="A35" s="12">
        <f t="shared" si="0"/>
        <v>29</v>
      </c>
      <c r="B35" s="135" t="s">
        <v>17</v>
      </c>
      <c r="C35" s="23">
        <v>880</v>
      </c>
      <c r="D35" s="105">
        <f t="shared" si="1"/>
        <v>12431.79</v>
      </c>
    </row>
    <row r="36" spans="1:4" s="24" customFormat="1" ht="12.75">
      <c r="A36" s="12">
        <f t="shared" si="0"/>
        <v>30</v>
      </c>
      <c r="B36" s="135" t="s">
        <v>46</v>
      </c>
      <c r="C36" s="102">
        <v>992</v>
      </c>
      <c r="D36" s="105">
        <f t="shared" si="1"/>
        <v>14014.02</v>
      </c>
    </row>
    <row r="37" spans="1:4" s="24" customFormat="1" ht="12.75">
      <c r="A37" s="12">
        <f t="shared" si="0"/>
        <v>31</v>
      </c>
      <c r="B37" s="136" t="s">
        <v>47</v>
      </c>
      <c r="C37" s="23">
        <v>1256</v>
      </c>
      <c r="D37" s="105">
        <f t="shared" si="1"/>
        <v>17743.55</v>
      </c>
    </row>
    <row r="38" spans="1:4" s="24" customFormat="1" ht="12.75">
      <c r="A38" s="12">
        <f t="shared" si="0"/>
        <v>32</v>
      </c>
      <c r="B38" s="136" t="s">
        <v>18</v>
      </c>
      <c r="C38" s="23">
        <v>917</v>
      </c>
      <c r="D38" s="105">
        <f t="shared" si="1"/>
        <v>12954.49</v>
      </c>
    </row>
    <row r="39" spans="1:4" s="24" customFormat="1" ht="13.5" thickBot="1">
      <c r="A39" s="72"/>
      <c r="B39" s="73" t="s">
        <v>3</v>
      </c>
      <c r="C39" s="68">
        <f>SUM(C7:C38)</f>
        <v>22208</v>
      </c>
      <c r="D39" s="117">
        <f>SUM(D7:D38)</f>
        <v>313733.13</v>
      </c>
    </row>
    <row r="40" spans="1:4" s="24" customFormat="1" ht="13.5" thickBot="1">
      <c r="A40" s="69"/>
      <c r="B40" s="70" t="s">
        <v>27</v>
      </c>
      <c r="C40" s="71">
        <f>evaluare!C41*0.5*0.5</f>
        <v>313733.125</v>
      </c>
      <c r="D40" s="111"/>
    </row>
    <row r="41" spans="2:4" s="24" customFormat="1" ht="12.75">
      <c r="B41" s="27"/>
      <c r="C41" s="7"/>
      <c r="D41" s="27"/>
    </row>
    <row r="42" spans="2:4" s="24" customFormat="1" ht="12.75">
      <c r="B42" s="28" t="s">
        <v>4</v>
      </c>
      <c r="C42" s="7">
        <f>ROUND(C40/C39,2)</f>
        <v>14.13</v>
      </c>
      <c r="D42" s="29"/>
    </row>
    <row r="43" spans="2:4" s="24" customFormat="1" ht="12.75">
      <c r="B43" s="27"/>
      <c r="C43" s="7"/>
      <c r="D43" s="29"/>
    </row>
  </sheetData>
  <sheetProtection/>
  <mergeCells count="2">
    <mergeCell ref="A1:D1"/>
    <mergeCell ref="B4:C4"/>
  </mergeCells>
  <printOptions horizontalCentered="1"/>
  <pageMargins left="0.15748031496063" right="0.15748031496063" top="0.17" bottom="0.17" header="0.17" footer="0.17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tabSelected="1" zoomScaleSheetLayoutView="100" zoomScalePageLayoutView="0" workbookViewId="0" topLeftCell="A26">
      <selection activeCell="A44" sqref="A44:IV46"/>
    </sheetView>
  </sheetViews>
  <sheetFormatPr defaultColWidth="9.140625" defaultRowHeight="12.75"/>
  <cols>
    <col min="1" max="1" width="3.421875" style="16" customWidth="1"/>
    <col min="2" max="2" width="43.8515625" style="16" customWidth="1"/>
    <col min="3" max="3" width="15.00390625" style="63" customWidth="1"/>
    <col min="4" max="4" width="16.28125" style="17" customWidth="1"/>
    <col min="5" max="5" width="15.28125" style="17" customWidth="1"/>
    <col min="6" max="6" width="16.140625" style="17" customWidth="1"/>
    <col min="7" max="16384" width="9.140625" style="16" customWidth="1"/>
  </cols>
  <sheetData>
    <row r="1" spans="1:6" ht="24.75" customHeight="1">
      <c r="A1" s="161" t="s">
        <v>59</v>
      </c>
      <c r="B1" s="161"/>
      <c r="C1" s="161"/>
      <c r="D1" s="161"/>
      <c r="E1" s="161"/>
      <c r="F1" s="161"/>
    </row>
    <row r="2" spans="1:6" s="2" customFormat="1" ht="6.75" customHeight="1">
      <c r="A2" s="65"/>
      <c r="B2" s="52"/>
      <c r="C2" s="52"/>
      <c r="D2" s="52"/>
      <c r="E2" s="52"/>
      <c r="F2" s="52"/>
    </row>
    <row r="3" spans="1:6" s="2" customFormat="1" ht="10.5" customHeight="1">
      <c r="A3" s="65"/>
      <c r="B3" s="52"/>
      <c r="C3" s="52"/>
      <c r="D3" s="52"/>
      <c r="E3" s="52"/>
      <c r="F3" s="52"/>
    </row>
    <row r="4" spans="1:6" s="14" customFormat="1" ht="36" customHeight="1" thickBot="1">
      <c r="A4" s="153" t="str">
        <f>evaluare!A4</f>
        <v>31/12/2020</v>
      </c>
      <c r="B4" s="154"/>
      <c r="C4" s="54"/>
      <c r="D4" s="15"/>
      <c r="E4" s="15"/>
      <c r="F4" s="19" t="s">
        <v>34</v>
      </c>
    </row>
    <row r="5" spans="1:6" s="58" customFormat="1" ht="54" customHeight="1">
      <c r="A5" s="67" t="s">
        <v>0</v>
      </c>
      <c r="B5" s="55" t="s">
        <v>1</v>
      </c>
      <c r="C5" s="56" t="s">
        <v>3</v>
      </c>
      <c r="D5" s="56" t="s">
        <v>22</v>
      </c>
      <c r="E5" s="57" t="s">
        <v>28</v>
      </c>
      <c r="F5" s="124" t="s">
        <v>29</v>
      </c>
    </row>
    <row r="6" spans="1:6" s="121" customFormat="1" ht="25.5" customHeight="1">
      <c r="A6" s="118">
        <v>0</v>
      </c>
      <c r="B6" s="119">
        <v>1</v>
      </c>
      <c r="C6" s="120">
        <v>2</v>
      </c>
      <c r="D6" s="120">
        <v>3</v>
      </c>
      <c r="E6" s="120">
        <v>4</v>
      </c>
      <c r="F6" s="125">
        <v>5</v>
      </c>
    </row>
    <row r="7" spans="1:6" s="14" customFormat="1" ht="12.75">
      <c r="A7" s="59">
        <v>1</v>
      </c>
      <c r="B7" s="60" t="s">
        <v>11</v>
      </c>
      <c r="C7" s="61">
        <f>SUM(D7:F7)</f>
        <v>40942.81</v>
      </c>
      <c r="D7" s="53">
        <f>evaluare!D7</f>
        <v>18743.8</v>
      </c>
      <c r="E7" s="53">
        <f>cal_ISO!D7</f>
        <v>9555.32</v>
      </c>
      <c r="F7" s="126">
        <f>cal_II!D7</f>
        <v>12643.69</v>
      </c>
    </row>
    <row r="8" spans="1:6" s="64" customFormat="1" ht="12.75">
      <c r="A8" s="66">
        <f>A7+1</f>
        <v>2</v>
      </c>
      <c r="B8" s="60" t="s">
        <v>35</v>
      </c>
      <c r="C8" s="61">
        <f aca="true" t="shared" si="0" ref="C8:C38">SUM(D8:F8)</f>
        <v>88436.38</v>
      </c>
      <c r="D8" s="53">
        <f>evaluare!D8</f>
        <v>25443.75</v>
      </c>
      <c r="E8" s="53">
        <f>cal_ISO!D8</f>
        <v>31574.11</v>
      </c>
      <c r="F8" s="126">
        <f>cal_II!D8</f>
        <v>31418.52</v>
      </c>
    </row>
    <row r="9" spans="1:6" s="64" customFormat="1" ht="12.75">
      <c r="A9" s="66">
        <f aca="true" t="shared" si="1" ref="A9:A38">A8+1</f>
        <v>3</v>
      </c>
      <c r="B9" s="60" t="s">
        <v>36</v>
      </c>
      <c r="C9" s="61">
        <f t="shared" si="0"/>
        <v>29512.719999999998</v>
      </c>
      <c r="D9" s="53">
        <f>evaluare!D9</f>
        <v>15470.96</v>
      </c>
      <c r="E9" s="53">
        <f>cal_ISO!D9</f>
        <v>8447.46</v>
      </c>
      <c r="F9" s="126">
        <f>cal_II!D9</f>
        <v>5594.3</v>
      </c>
    </row>
    <row r="10" spans="1:6" s="64" customFormat="1" ht="12.75">
      <c r="A10" s="66">
        <f t="shared" si="1"/>
        <v>4</v>
      </c>
      <c r="B10" s="13" t="s">
        <v>12</v>
      </c>
      <c r="C10" s="61">
        <f>SUM(D10:F10)</f>
        <v>53102.79</v>
      </c>
      <c r="D10" s="53">
        <f>evaluare!D10</f>
        <v>30454.31</v>
      </c>
      <c r="E10" s="53">
        <f>cal_ISO!D10</f>
        <v>10386.22</v>
      </c>
      <c r="F10" s="126">
        <f>cal_II!D10</f>
        <v>12262.26</v>
      </c>
    </row>
    <row r="11" spans="1:6" s="64" customFormat="1" ht="12.75">
      <c r="A11" s="66">
        <f t="shared" si="1"/>
        <v>5</v>
      </c>
      <c r="B11" s="13" t="s">
        <v>13</v>
      </c>
      <c r="C11" s="61">
        <f t="shared" si="0"/>
        <v>26565.6</v>
      </c>
      <c r="D11" s="53">
        <f>evaluare!D11</f>
        <v>11126.65</v>
      </c>
      <c r="E11" s="53">
        <f>cal_ISO!D11</f>
        <v>8516.7</v>
      </c>
      <c r="F11" s="126">
        <f>cal_II!D11</f>
        <v>6922.25</v>
      </c>
    </row>
    <row r="12" spans="1:6" s="64" customFormat="1" ht="12.75">
      <c r="A12" s="66">
        <f t="shared" si="1"/>
        <v>6</v>
      </c>
      <c r="B12" s="150" t="s">
        <v>60</v>
      </c>
      <c r="C12" s="61">
        <f>SUM(D12:F12)</f>
        <v>24507.15</v>
      </c>
      <c r="D12" s="53">
        <f>evaluare!D12</f>
        <v>14010.24</v>
      </c>
      <c r="E12" s="53">
        <f>cal_ISO!D12</f>
        <v>6993.39</v>
      </c>
      <c r="F12" s="126">
        <f>cal_II!D12</f>
        <v>3503.52</v>
      </c>
    </row>
    <row r="13" spans="1:6" s="14" customFormat="1" ht="12.75">
      <c r="A13" s="66">
        <f t="shared" si="1"/>
        <v>7</v>
      </c>
      <c r="B13" s="76" t="s">
        <v>51</v>
      </c>
      <c r="C13" s="61">
        <f>SUM(D13:F13)</f>
        <v>56227.29</v>
      </c>
      <c r="D13" s="53">
        <f>evaluare!D13</f>
        <v>32514.02</v>
      </c>
      <c r="E13" s="53">
        <f>cal_ISO!D13</f>
        <v>19249.13</v>
      </c>
      <c r="F13" s="126">
        <f>cal_II!D13</f>
        <v>4464.14</v>
      </c>
    </row>
    <row r="14" spans="1:6" s="64" customFormat="1" ht="12.75">
      <c r="A14" s="66">
        <f t="shared" si="1"/>
        <v>8</v>
      </c>
      <c r="B14" s="21" t="s">
        <v>37</v>
      </c>
      <c r="C14" s="61">
        <f t="shared" si="0"/>
        <v>100190.60999999999</v>
      </c>
      <c r="D14" s="53">
        <f>evaluare!D14</f>
        <v>70677.56999999999</v>
      </c>
      <c r="E14" s="53">
        <f>cal_ISO!D14</f>
        <v>11147.9</v>
      </c>
      <c r="F14" s="126">
        <f>cal_II!D14</f>
        <v>18365.14</v>
      </c>
    </row>
    <row r="15" spans="1:6" s="64" customFormat="1" ht="12.75">
      <c r="A15" s="66">
        <f t="shared" si="1"/>
        <v>9</v>
      </c>
      <c r="B15" s="13" t="s">
        <v>50</v>
      </c>
      <c r="C15" s="61">
        <f t="shared" si="0"/>
        <v>19963.93</v>
      </c>
      <c r="D15" s="53">
        <f>evaluare!D15</f>
        <v>8789.51</v>
      </c>
      <c r="E15" s="53">
        <f>cal_ISO!D15</f>
        <v>4916.14</v>
      </c>
      <c r="F15" s="126">
        <f>cal_II!D15</f>
        <v>6258.28</v>
      </c>
    </row>
    <row r="16" spans="1:6" s="64" customFormat="1" ht="12.75">
      <c r="A16" s="66">
        <f t="shared" si="1"/>
        <v>10</v>
      </c>
      <c r="B16" s="13" t="s">
        <v>38</v>
      </c>
      <c r="C16" s="61">
        <f t="shared" si="0"/>
        <v>25974.78</v>
      </c>
      <c r="D16" s="53">
        <f>evaluare!D16</f>
        <v>7866.84</v>
      </c>
      <c r="E16" s="53">
        <f>cal_ISO!D16</f>
        <v>9970.77</v>
      </c>
      <c r="F16" s="126">
        <f>cal_II!D16</f>
        <v>8137.17</v>
      </c>
    </row>
    <row r="17" spans="1:6" s="64" customFormat="1" ht="12.75">
      <c r="A17" s="66">
        <f t="shared" si="1"/>
        <v>11</v>
      </c>
      <c r="B17" s="13" t="s">
        <v>39</v>
      </c>
      <c r="C17" s="61">
        <f t="shared" si="0"/>
        <v>21744.45</v>
      </c>
      <c r="D17" s="53">
        <f>evaluare!D17</f>
        <v>8643.43</v>
      </c>
      <c r="E17" s="53">
        <f>cal_ISO!D17</f>
        <v>8862.91</v>
      </c>
      <c r="F17" s="126">
        <f>cal_II!D17</f>
        <v>4238.11</v>
      </c>
    </row>
    <row r="18" spans="1:6" s="64" customFormat="1" ht="12.75">
      <c r="A18" s="66">
        <f t="shared" si="1"/>
        <v>12</v>
      </c>
      <c r="B18" s="13" t="s">
        <v>23</v>
      </c>
      <c r="C18" s="61">
        <f>SUM(D18:F18)</f>
        <v>33066.06</v>
      </c>
      <c r="D18" s="53">
        <f>evaluare!D18</f>
        <v>17391.96</v>
      </c>
      <c r="E18" s="53">
        <f>cal_ISO!D18</f>
        <v>10870.91</v>
      </c>
      <c r="F18" s="126">
        <f>cal_II!D18</f>
        <v>4803.19</v>
      </c>
    </row>
    <row r="19" spans="1:6" s="64" customFormat="1" ht="12.75">
      <c r="A19" s="66">
        <f t="shared" si="1"/>
        <v>13</v>
      </c>
      <c r="B19" s="13" t="s">
        <v>14</v>
      </c>
      <c r="C19" s="61">
        <f t="shared" si="0"/>
        <v>41046.34</v>
      </c>
      <c r="D19" s="53">
        <f>evaluare!D19</f>
        <v>13963.17</v>
      </c>
      <c r="E19" s="53">
        <f>cal_ISO!D19</f>
        <v>11147.88</v>
      </c>
      <c r="F19" s="126">
        <f>cal_II!D19</f>
        <v>15935.29</v>
      </c>
    </row>
    <row r="20" spans="1:6" s="64" customFormat="1" ht="12.75">
      <c r="A20" s="66">
        <f t="shared" si="1"/>
        <v>14</v>
      </c>
      <c r="B20" s="13" t="s">
        <v>15</v>
      </c>
      <c r="C20" s="61">
        <f t="shared" si="0"/>
        <v>32862.03</v>
      </c>
      <c r="D20" s="53">
        <f>evaluare!D20</f>
        <v>14720.64</v>
      </c>
      <c r="E20" s="53">
        <f>cal_ISO!D20</f>
        <v>8308.98</v>
      </c>
      <c r="F20" s="126">
        <f>cal_II!D20</f>
        <v>9832.41</v>
      </c>
    </row>
    <row r="21" spans="1:6" s="64" customFormat="1" ht="12.75">
      <c r="A21" s="66">
        <f t="shared" si="1"/>
        <v>15</v>
      </c>
      <c r="B21" s="13" t="s">
        <v>48</v>
      </c>
      <c r="C21" s="61">
        <f t="shared" si="0"/>
        <v>19702.78</v>
      </c>
      <c r="D21" s="53">
        <f>evaluare!D21</f>
        <v>8459.11</v>
      </c>
      <c r="E21" s="53">
        <f>cal_ISO!D21</f>
        <v>4985.39</v>
      </c>
      <c r="F21" s="126">
        <f>cal_II!D21</f>
        <v>6258.28</v>
      </c>
    </row>
    <row r="22" spans="1:6" s="64" customFormat="1" ht="12.75">
      <c r="A22" s="66">
        <f t="shared" si="1"/>
        <v>16</v>
      </c>
      <c r="B22" s="13" t="s">
        <v>40</v>
      </c>
      <c r="C22" s="61">
        <f t="shared" si="0"/>
        <v>25777.91</v>
      </c>
      <c r="D22" s="53">
        <f>evaluare!D22</f>
        <v>10235.51</v>
      </c>
      <c r="E22" s="53">
        <f>cal_ISO!D22</f>
        <v>9693.81</v>
      </c>
      <c r="F22" s="126">
        <f>cal_II!D22</f>
        <v>5848.59</v>
      </c>
    </row>
    <row r="23" spans="1:6" s="64" customFormat="1" ht="12.75">
      <c r="A23" s="66">
        <f t="shared" si="1"/>
        <v>17</v>
      </c>
      <c r="B23" s="13" t="s">
        <v>16</v>
      </c>
      <c r="C23" s="61">
        <f t="shared" si="0"/>
        <v>26590.449999999997</v>
      </c>
      <c r="D23" s="53">
        <f>evaluare!D23</f>
        <v>7658.77</v>
      </c>
      <c r="E23" s="53">
        <f>cal_ISO!D23</f>
        <v>10455.46</v>
      </c>
      <c r="F23" s="126">
        <f>cal_II!D23</f>
        <v>8476.22</v>
      </c>
    </row>
    <row r="24" spans="1:6" s="64" customFormat="1" ht="18" customHeight="1">
      <c r="A24" s="66">
        <f t="shared" si="1"/>
        <v>18</v>
      </c>
      <c r="B24" s="21" t="s">
        <v>56</v>
      </c>
      <c r="C24" s="61">
        <f t="shared" si="0"/>
        <v>33649</v>
      </c>
      <c r="D24" s="53">
        <f>evaluare!D24</f>
        <v>14228.83</v>
      </c>
      <c r="E24" s="53">
        <f>cal_ISO!D24</f>
        <v>9347.6</v>
      </c>
      <c r="F24" s="126">
        <f>cal_II!D24</f>
        <v>10072.57</v>
      </c>
    </row>
    <row r="25" spans="1:6" s="14" customFormat="1" ht="12.75">
      <c r="A25" s="66">
        <f t="shared" si="1"/>
        <v>19</v>
      </c>
      <c r="B25" s="13" t="s">
        <v>49</v>
      </c>
      <c r="C25" s="61">
        <f>SUM(D25:F25)</f>
        <v>35131.49</v>
      </c>
      <c r="D25" s="53">
        <f>evaluare!D25</f>
        <v>14321.3</v>
      </c>
      <c r="E25" s="53">
        <f>cal_ISO!D25</f>
        <v>9070.63</v>
      </c>
      <c r="F25" s="126">
        <f>cal_II!D25</f>
        <v>11739.56</v>
      </c>
    </row>
    <row r="26" spans="1:6" s="64" customFormat="1" ht="12.75">
      <c r="A26" s="66">
        <f t="shared" si="1"/>
        <v>20</v>
      </c>
      <c r="B26" s="13" t="s">
        <v>19</v>
      </c>
      <c r="C26" s="61">
        <f t="shared" si="0"/>
        <v>54213.34999999999</v>
      </c>
      <c r="D26" s="53">
        <f>evaluare!D26</f>
        <v>29235.3</v>
      </c>
      <c r="E26" s="53">
        <f>cal_ISO!D26</f>
        <v>10455.46</v>
      </c>
      <c r="F26" s="126">
        <f>cal_II!D26</f>
        <v>14522.59</v>
      </c>
    </row>
    <row r="27" spans="1:6" s="14" customFormat="1" ht="12.75">
      <c r="A27" s="66">
        <f t="shared" si="1"/>
        <v>21</v>
      </c>
      <c r="B27" s="13" t="s">
        <v>30</v>
      </c>
      <c r="C27" s="61">
        <f t="shared" si="0"/>
        <v>32007.25</v>
      </c>
      <c r="D27" s="53">
        <f>evaluare!D27</f>
        <v>16019.51</v>
      </c>
      <c r="E27" s="53">
        <f>cal_ISO!D27</f>
        <v>5816.28</v>
      </c>
      <c r="F27" s="126">
        <f>cal_II!D27</f>
        <v>10171.46</v>
      </c>
    </row>
    <row r="28" spans="1:6" s="14" customFormat="1" ht="12.75">
      <c r="A28" s="66">
        <f t="shared" si="1"/>
        <v>22</v>
      </c>
      <c r="B28" s="13" t="s">
        <v>41</v>
      </c>
      <c r="C28" s="61">
        <f t="shared" si="0"/>
        <v>28527.68</v>
      </c>
      <c r="D28" s="53">
        <f>evaluare!D28</f>
        <v>15617.66</v>
      </c>
      <c r="E28" s="53">
        <f>cal_ISO!D28</f>
        <v>7824.29</v>
      </c>
      <c r="F28" s="126">
        <f>cal_II!D28</f>
        <v>5085.73</v>
      </c>
    </row>
    <row r="29" spans="1:6" s="14" customFormat="1" ht="12.75">
      <c r="A29" s="66">
        <f t="shared" si="1"/>
        <v>23</v>
      </c>
      <c r="B29" s="13" t="s">
        <v>42</v>
      </c>
      <c r="C29" s="61">
        <f t="shared" si="0"/>
        <v>23287.300000000003</v>
      </c>
      <c r="D29" s="53">
        <f>evaluare!D29</f>
        <v>13850.51</v>
      </c>
      <c r="E29" s="53">
        <f>cal_ISO!D29</f>
        <v>4916.14</v>
      </c>
      <c r="F29" s="126">
        <f>cal_II!D29</f>
        <v>4520.65</v>
      </c>
    </row>
    <row r="30" spans="1:6" s="14" customFormat="1" ht="12.75">
      <c r="A30" s="66">
        <f t="shared" si="1"/>
        <v>24</v>
      </c>
      <c r="B30" s="20" t="s">
        <v>57</v>
      </c>
      <c r="C30" s="61">
        <f>SUM(D30:F30)</f>
        <v>17416.48</v>
      </c>
      <c r="D30" s="53">
        <f>evaluare!D30</f>
        <v>7838.04</v>
      </c>
      <c r="E30" s="53">
        <f>cal_ISO!D30</f>
        <v>6300.97</v>
      </c>
      <c r="F30" s="126">
        <f>cal_II!D30</f>
        <v>3277.47</v>
      </c>
    </row>
    <row r="31" spans="1:6" s="14" customFormat="1" ht="24" customHeight="1">
      <c r="A31" s="66">
        <f t="shared" si="1"/>
        <v>25</v>
      </c>
      <c r="B31" s="13" t="s">
        <v>43</v>
      </c>
      <c r="C31" s="61">
        <f t="shared" si="0"/>
        <v>34724.79</v>
      </c>
      <c r="D31" s="53">
        <f>evaluare!D31</f>
        <v>21738.37</v>
      </c>
      <c r="E31" s="53">
        <f>cal_ISO!D31</f>
        <v>8239.74</v>
      </c>
      <c r="F31" s="126">
        <f>cal_II!D31</f>
        <v>4746.68</v>
      </c>
    </row>
    <row r="32" spans="1:6" s="64" customFormat="1" ht="24" customHeight="1">
      <c r="A32" s="66">
        <f t="shared" si="1"/>
        <v>26</v>
      </c>
      <c r="B32" s="13" t="s">
        <v>44</v>
      </c>
      <c r="C32" s="61">
        <f t="shared" si="0"/>
        <v>76567.5</v>
      </c>
      <c r="D32" s="53">
        <f>evaluare!D32</f>
        <v>50752.98</v>
      </c>
      <c r="E32" s="53">
        <f>cal_ISO!D32</f>
        <v>11009.39</v>
      </c>
      <c r="F32" s="126">
        <f>cal_II!D32</f>
        <v>14805.13</v>
      </c>
    </row>
    <row r="33" spans="1:6" s="64" customFormat="1" ht="12.75">
      <c r="A33" s="66">
        <f t="shared" si="1"/>
        <v>27</v>
      </c>
      <c r="B33" s="13" t="s">
        <v>45</v>
      </c>
      <c r="C33" s="61">
        <f t="shared" si="0"/>
        <v>21802.22</v>
      </c>
      <c r="D33" s="53">
        <f>evaluare!D33</f>
        <v>13022.42</v>
      </c>
      <c r="E33" s="53">
        <f>cal_ISO!D33</f>
        <v>4569.94</v>
      </c>
      <c r="F33" s="126">
        <f>cal_II!D33</f>
        <v>4209.86</v>
      </c>
    </row>
    <row r="34" spans="1:6" s="64" customFormat="1" ht="12.75">
      <c r="A34" s="66">
        <f t="shared" si="1"/>
        <v>28</v>
      </c>
      <c r="B34" s="13" t="s">
        <v>20</v>
      </c>
      <c r="C34" s="61">
        <f t="shared" si="0"/>
        <v>36317.93</v>
      </c>
      <c r="D34" s="53">
        <f>evaluare!D34</f>
        <v>17870.94</v>
      </c>
      <c r="E34" s="53">
        <f>cal_ISO!D34</f>
        <v>9970.77</v>
      </c>
      <c r="F34" s="126">
        <f>cal_II!D34</f>
        <v>8476.22</v>
      </c>
    </row>
    <row r="35" spans="1:6" s="14" customFormat="1" ht="12.75">
      <c r="A35" s="66">
        <f t="shared" si="1"/>
        <v>29</v>
      </c>
      <c r="B35" s="13" t="s">
        <v>17</v>
      </c>
      <c r="C35" s="61">
        <f>SUM(D35:F35)</f>
        <v>48634.24</v>
      </c>
      <c r="D35" s="53">
        <f>evaluare!D35</f>
        <v>25470.02</v>
      </c>
      <c r="E35" s="53">
        <f>cal_ISO!D35</f>
        <v>10732.43</v>
      </c>
      <c r="F35" s="126">
        <f>cal_II!D35</f>
        <v>12431.79</v>
      </c>
    </row>
    <row r="36" spans="1:6" s="64" customFormat="1" ht="12.75">
      <c r="A36" s="66">
        <f t="shared" si="1"/>
        <v>30</v>
      </c>
      <c r="B36" s="21" t="s">
        <v>46</v>
      </c>
      <c r="C36" s="61">
        <f t="shared" si="0"/>
        <v>36073.770000000004</v>
      </c>
      <c r="D36" s="53">
        <f>evaluare!D36</f>
        <v>13058.36</v>
      </c>
      <c r="E36" s="53">
        <f>cal_ISO!D36</f>
        <v>9001.39</v>
      </c>
      <c r="F36" s="126">
        <f>cal_II!D36</f>
        <v>14014.02</v>
      </c>
    </row>
    <row r="37" spans="1:6" s="64" customFormat="1" ht="12.75">
      <c r="A37" s="66">
        <f t="shared" si="1"/>
        <v>31</v>
      </c>
      <c r="B37" s="20" t="s">
        <v>47</v>
      </c>
      <c r="C37" s="61">
        <f t="shared" si="0"/>
        <v>60952.899999999994</v>
      </c>
      <c r="D37" s="53">
        <f>evaluare!D37</f>
        <v>32407.68</v>
      </c>
      <c r="E37" s="53">
        <f>cal_ISO!D37</f>
        <v>10801.67</v>
      </c>
      <c r="F37" s="126">
        <f>cal_II!D37</f>
        <v>17743.55</v>
      </c>
    </row>
    <row r="38" spans="1:6" s="14" customFormat="1" ht="13.5" thickBot="1">
      <c r="A38" s="66">
        <f t="shared" si="1"/>
        <v>32</v>
      </c>
      <c r="B38" s="20" t="s">
        <v>18</v>
      </c>
      <c r="C38" s="61">
        <f t="shared" si="0"/>
        <v>49412.54</v>
      </c>
      <c r="D38" s="53">
        <f>evaluare!D38</f>
        <v>25864.1</v>
      </c>
      <c r="E38" s="53">
        <f>cal_ISO!D38</f>
        <v>10593.95</v>
      </c>
      <c r="F38" s="126">
        <f>cal_II!D38</f>
        <v>12954.49</v>
      </c>
    </row>
    <row r="39" spans="1:6" s="54" customFormat="1" ht="15" customHeight="1" thickBot="1">
      <c r="A39" s="127"/>
      <c r="B39" s="128" t="s">
        <v>3</v>
      </c>
      <c r="C39" s="129">
        <f>SUM(C7:C38)</f>
        <v>1254932.52</v>
      </c>
      <c r="D39" s="129">
        <f>SUM(D7:D38)</f>
        <v>627466.2599999999</v>
      </c>
      <c r="E39" s="129">
        <f>SUM(E7:E38)</f>
        <v>313733.13000000006</v>
      </c>
      <c r="F39" s="130">
        <f>SUM(F7:F38)</f>
        <v>313733.13</v>
      </c>
    </row>
    <row r="40" spans="3:6" s="14" customFormat="1" ht="12.75" hidden="1">
      <c r="C40" s="62" t="e">
        <f>#REF!/0.76</f>
        <v>#REF!</v>
      </c>
      <c r="D40" s="15" t="e">
        <f>#REF!/$C40</f>
        <v>#REF!</v>
      </c>
      <c r="E40" s="15" t="e">
        <f>#REF!/$C40</f>
        <v>#REF!</v>
      </c>
      <c r="F40" s="15" t="e">
        <f>#REF!/$C40</f>
        <v>#REF!</v>
      </c>
    </row>
    <row r="41" spans="3:6" s="14" customFormat="1" ht="12.75">
      <c r="C41" s="62"/>
      <c r="D41" s="15"/>
      <c r="E41" s="15"/>
      <c r="F41" s="15"/>
    </row>
    <row r="42" spans="2:6" s="54" customFormat="1" ht="12.75">
      <c r="B42" s="54" t="s">
        <v>10</v>
      </c>
      <c r="C42" s="62"/>
      <c r="D42" s="62">
        <f>evaluare!C43</f>
        <v>21.02</v>
      </c>
      <c r="E42" s="62">
        <f>cal_ISO!C42</f>
        <v>69.24</v>
      </c>
      <c r="F42" s="62">
        <f>cal_II!C42</f>
        <v>14.13</v>
      </c>
    </row>
    <row r="43" spans="3:6" s="14" customFormat="1" ht="12.75">
      <c r="C43" s="62"/>
      <c r="D43" s="15"/>
      <c r="E43" s="15"/>
      <c r="F43" s="15"/>
    </row>
  </sheetData>
  <sheetProtection/>
  <mergeCells count="2">
    <mergeCell ref="A4:B4"/>
    <mergeCell ref="A1:F1"/>
  </mergeCells>
  <printOptions horizontalCentered="1"/>
  <pageMargins left="0" right="0" top="0" bottom="0" header="0.01" footer="0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Cotutiu</dc:creator>
  <cp:keywords/>
  <dc:description/>
  <cp:lastModifiedBy>irina.gherghel</cp:lastModifiedBy>
  <cp:lastPrinted>2021-01-04T06:31:11Z</cp:lastPrinted>
  <dcterms:created xsi:type="dcterms:W3CDTF">2003-02-20T14:27:52Z</dcterms:created>
  <dcterms:modified xsi:type="dcterms:W3CDTF">2021-02-19T08:55:32Z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1224956154</vt:i4>
  </property>
  <property fmtid="{D5CDD505-2E9C-101B-9397-08002B2CF9AE}" pid="3" name="_EmailSubject">
    <vt:lpwstr>ultima varianta </vt:lpwstr>
  </property>
  <property fmtid="{D5CDD505-2E9C-101B-9397-08002B2CF9AE}" pid="4" name="_AuthorEmail">
    <vt:lpwstr>radut@hih.ro</vt:lpwstr>
  </property>
  <property fmtid="{D5CDD505-2E9C-101B-9397-08002B2CF9AE}" pid="5" name="_AuthorEmailDisplayName">
    <vt:lpwstr>radut</vt:lpwstr>
  </property>
  <property fmtid="{D5CDD505-2E9C-101B-9397-08002B2CF9AE}" pid="6" name="_PreviousAdHocReviewCycleID">
    <vt:i4>1507346432</vt:i4>
  </property>
  <property fmtid="{D5CDD505-2E9C-101B-9397-08002B2CF9AE}" pid="7" name="_ReviewingToolsShownOnce">
    <vt:lpwstr/>
  </property>
</Properties>
</file>