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'cal_II'!$A$1:$D$51</definedName>
    <definedName name="_xlnm.Print_Area" localSheetId="1">'cal_ISO'!$A$1:$E$51</definedName>
    <definedName name="_xlnm.Print_Area" localSheetId="0">'evaluare'!$A$1:$D$44</definedName>
    <definedName name="_xlnm.Print_Area" localSheetId="3">'TOTAL'!$A$1:$F$44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<sst xmlns="http://schemas.openxmlformats.org/spreadsheetml/2006/main" count="184" uniqueCount="67">
  <si>
    <t>Nr.crt.</t>
  </si>
  <si>
    <t>FURNIZOR</t>
  </si>
  <si>
    <t>Fond alocat 1</t>
  </si>
  <si>
    <t>TOTAL</t>
  </si>
  <si>
    <t>VAL.PUNCT=</t>
  </si>
  <si>
    <t>FOND TOTAL ALOCAT LABORATOARE</t>
  </si>
  <si>
    <t>Margareta MIRON</t>
  </si>
  <si>
    <t>Aprobat,</t>
  </si>
  <si>
    <t>Avizat,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</si>
  <si>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</si>
  <si>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</si>
  <si>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</si>
  <si>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</si>
  <si>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</si>
  <si>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</si>
  <si>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</si>
  <si>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</si>
  <si>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</si>
  <si>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</si>
  <si>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</si>
  <si>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</si>
  <si>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</si>
  <si>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</si>
  <si>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</si>
  <si>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>PRESEDINTE DIRECTOR GENERAL</t>
  </si>
  <si>
    <t xml:space="preserve"> Fond evaluare(50%)</t>
  </si>
  <si>
    <t>evaluare 50%</t>
  </si>
  <si>
    <t>DIRECTOR  EXECUTIV DIRECTIA RELATII CONTRACTUALE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</si>
  <si>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</si>
  <si>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</si>
  <si>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</si>
  <si>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</si>
  <si>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</si>
  <si>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</si>
  <si>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</si>
  <si>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</si>
  <si>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</si>
  <si>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</si>
  <si>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</si>
  <si>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</si>
  <si>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</si>
  <si>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</si>
  <si>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</si>
  <si>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</si>
  <si>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</si>
  <si>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</si>
  <si>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</si>
  <si>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</si>
  <si>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</si>
  <si>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</si>
  <si>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</si>
  <si>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</si>
  <si>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</si>
  <si>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</si>
  <si>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</si>
  <si>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</si>
  <si>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</si>
  <si>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Radu Gheorghe ȚIBICHI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</si>
  <si>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</si>
  <si>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</si>
  <si>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</si>
  <si>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</si>
  <si>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</si>
  <si>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</si>
  <si>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INSTITUTUL DE PSIHIATRIE SOCOLA</t>
  </si>
  <si>
    <t xml:space="preserve"> TOTAL CRITERII DE SELECTIE  - SERVICII PARACLINICE DE LABORATOR - IULIE 2021</t>
  </si>
  <si>
    <t>30/06/2021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</si>
</sst>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vertical="center" wrapText="1"/>
      <protection/>
    </xf>
    <xf numFmtId="0" fontId="1" fillId="0" borderId="18" xfId="57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5" xfId="57" applyNumberFormat="1" applyFont="1" applyFill="1" applyBorder="1" applyAlignment="1">
      <alignment horizontal="center" vertical="center"/>
      <protection/>
    </xf>
    <xf numFmtId="1" fontId="7" fillId="0" borderId="19" xfId="57" applyNumberFormat="1" applyFont="1" applyFill="1" applyBorder="1" applyAlignment="1">
      <alignment horizontal="center" vertical="center" wrapText="1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4" fontId="1" fillId="0" borderId="19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0" borderId="26" xfId="57" applyNumberFormat="1" applyFont="1" applyFill="1" applyBorder="1" applyAlignment="1">
      <alignment horizontal="right" vertical="center"/>
      <protection/>
    </xf>
    <xf numFmtId="4" fontId="31" fillId="0" borderId="1" xfId="57" applyNumberFormat="1" applyFont="1" applyFill="1" applyBorder="1" applyAlignment="1">
      <alignment vertical="center"/>
      <protection/>
    </xf>
    <xf numFmtId="4" fontId="31" fillId="0" borderId="27" xfId="57" applyNumberFormat="1" applyFont="1" applyFill="1" applyBorder="1" applyAlignment="1">
      <alignment vertical="center"/>
      <protection/>
    </xf>
    <xf numFmtId="0" fontId="10" fillId="24" borderId="27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 wrapText="1"/>
      <protection/>
    </xf>
    <xf numFmtId="4" fontId="1" fillId="0" borderId="29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horizontal="center" vertical="center"/>
      <protection/>
    </xf>
    <xf numFmtId="1" fontId="1" fillId="0" borderId="31" xfId="57" applyNumberFormat="1" applyFont="1" applyFill="1" applyBorder="1" applyAlignment="1">
      <alignment horizontal="center" vertical="center" wrapText="1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57" applyFont="1" applyFill="1" applyAlignment="1">
      <alignment vertical="center"/>
      <protection/>
    </xf>
    <xf numFmtId="4" fontId="11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8" xfId="57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3" fontId="1" fillId="0" borderId="23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vertical="center" wrapText="1"/>
    </xf>
    <xf numFmtId="0" fontId="13" fillId="0" borderId="0" xfId="57" applyFont="1" applyFill="1" applyAlignment="1">
      <alignment vertical="center"/>
      <protection/>
    </xf>
    <xf numFmtId="4" fontId="12" fillId="0" borderId="0" xfId="0" applyNumberFormat="1" applyFont="1" applyBorder="1" applyAlignment="1">
      <alignment vertical="center"/>
    </xf>
    <xf numFmtId="4" fontId="11" fillId="0" borderId="0" xfId="57" applyNumberFormat="1" applyFont="1" applyFill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58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7" xfId="0" applyNumberFormat="1" applyFont="1" applyFill="1" applyBorder="1" applyAlignment="1">
      <alignment vertical="center" wrapText="1"/>
    </xf>
    <xf numFmtId="4" fontId="1" fillId="0" borderId="27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7" xfId="57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4" fontId="1" fillId="20" borderId="1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6" xfId="57" applyNumberFormat="1" applyFont="1" applyFill="1" applyBorder="1" applyAlignment="1">
      <alignment horizontal="center" vertical="center"/>
      <protection/>
    </xf>
    <xf numFmtId="4" fontId="1" fillId="0" borderId="37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36">
      <selection activeCell="A45" sqref="A45:IV47"/>
    </sheetView>
  </sheetViews>
  <sheetFormatPr defaultColWidth="9.140625" defaultRowHeight="12.75"/>
  <cols>
    <col min="1" max="1" width="3.7109375" style="13" customWidth="1"/>
    <col min="2" max="2" width="54.00390625" style="101" customWidth="1"/>
    <col min="3" max="3" width="20.8515625" style="102" customWidth="1"/>
    <col min="4" max="4" width="20.8515625" style="49" customWidth="1"/>
    <col min="5" max="16384" width="9.140625" style="13" customWidth="1"/>
  </cols>
  <sheetData>
    <row r="1" spans="1:4" s="76" customFormat="1" ht="14.25" customHeight="1">
      <c r="A1" s="128" t="s">
        <v>29</v>
      </c>
      <c r="B1" s="128"/>
      <c r="C1" s="128"/>
      <c r="D1" s="128"/>
    </row>
    <row r="2" spans="2:4" s="19" customFormat="1" ht="15">
      <c r="B2" s="84"/>
      <c r="C2" s="85"/>
      <c r="D2" s="86"/>
    </row>
    <row r="3" spans="2:4" s="19" customFormat="1" ht="15">
      <c r="B3" s="84"/>
      <c r="C3" s="85"/>
      <c r="D3" s="87" t="s">
        <v>9</v>
      </c>
    </row>
    <row r="4" spans="1:3" s="19" customFormat="1" ht="36" customHeight="1" thickBot="1">
      <c r="A4" s="126" t="s">
        <v>66</v>
      </c>
      <c r="B4" s="127"/>
      <c r="C4" s="85"/>
    </row>
    <row r="5" spans="1:4" s="43" customFormat="1" ht="27" thickBot="1">
      <c r="A5" s="26" t="s">
        <v>0</v>
      </c>
      <c r="B5" s="88" t="s">
        <v>1</v>
      </c>
      <c r="C5" s="38" t="s">
        <v>60</v>
      </c>
      <c r="D5" s="89" t="s">
        <v>2</v>
      </c>
    </row>
    <row r="6" spans="1:4" s="18" customFormat="1" ht="21" thickBot="1">
      <c r="A6" s="27">
        <v>0</v>
      </c>
      <c r="B6" s="28">
        <v>1</v>
      </c>
      <c r="C6" s="29">
        <v>2</v>
      </c>
      <c r="D6" s="37" t="s">
        <v>12</v>
      </c>
    </row>
    <row r="7" spans="1:10" s="91" customFormat="1" ht="18" customHeight="1">
      <c r="A7" s="90">
        <v>1</v>
      </c>
      <c r="B7" s="58" t="s">
        <v>14</v>
      </c>
      <c r="C7" s="57">
        <f>859.32+25.2+4.8+30-12.5-15</f>
        <v>891.82</v>
      </c>
      <c r="D7" s="55">
        <f aca="true" t="shared" si="0" ref="D7:D13">ROUND(C7/C$39*C$40,2)</f>
        <v>18506.36</v>
      </c>
      <c r="E7" s="42"/>
      <c r="F7" s="42"/>
      <c r="G7" s="42"/>
      <c r="H7" s="42"/>
      <c r="I7" s="42"/>
      <c r="J7" s="42"/>
    </row>
    <row r="8" spans="1:10" s="91" customFormat="1" ht="18" customHeight="1">
      <c r="A8" s="92">
        <f>A7+1</f>
        <v>2</v>
      </c>
      <c r="B8" s="59" t="s">
        <v>61</v>
      </c>
      <c r="C8" s="41">
        <v>1210.6</v>
      </c>
      <c r="D8" s="44">
        <f t="shared" si="0"/>
        <v>25121.44</v>
      </c>
      <c r="E8" s="42"/>
      <c r="F8" s="42"/>
      <c r="G8" s="42"/>
      <c r="H8" s="42"/>
      <c r="I8" s="42"/>
      <c r="J8" s="42"/>
    </row>
    <row r="9" spans="1:10" s="91" customFormat="1" ht="18" customHeight="1">
      <c r="A9" s="92">
        <f aca="true" t="shared" si="1" ref="A9:A38">A8+1</f>
        <v>3</v>
      </c>
      <c r="B9" s="59" t="s">
        <v>41</v>
      </c>
      <c r="C9" s="41">
        <v>736.1</v>
      </c>
      <c r="D9" s="46">
        <f t="shared" si="0"/>
        <v>15274.98</v>
      </c>
      <c r="E9" s="42"/>
      <c r="F9" s="42"/>
      <c r="G9" s="42"/>
      <c r="H9" s="42"/>
      <c r="I9" s="42"/>
      <c r="J9" s="42"/>
    </row>
    <row r="10" spans="1:10" s="14" customFormat="1" ht="63" customHeight="1">
      <c r="A10" s="92">
        <f t="shared" si="1"/>
        <v>4</v>
      </c>
      <c r="B10" s="60" t="s">
        <v>15</v>
      </c>
      <c r="C10" s="41">
        <f>1392+57-40+40+15-8+8</f>
        <v>1464</v>
      </c>
      <c r="D10" s="46">
        <f t="shared" si="0"/>
        <v>30379.8</v>
      </c>
      <c r="E10" s="51"/>
      <c r="F10" s="51"/>
      <c r="G10" s="51"/>
      <c r="H10" s="51"/>
      <c r="I10" s="51"/>
      <c r="J10" s="51"/>
    </row>
    <row r="11" spans="1:10" s="91" customFormat="1" ht="22.5" customHeight="1">
      <c r="A11" s="92">
        <f t="shared" si="1"/>
        <v>5</v>
      </c>
      <c r="B11" s="59" t="s">
        <v>16</v>
      </c>
      <c r="C11" s="125">
        <f>509.4+20+15+158</f>
        <v>702.4</v>
      </c>
      <c r="D11" s="46">
        <f t="shared" si="0"/>
        <v>14575.66</v>
      </c>
      <c r="E11" s="42"/>
      <c r="F11" s="42"/>
      <c r="G11" s="42"/>
      <c r="H11" s="42"/>
      <c r="I11" s="42"/>
      <c r="J11" s="42"/>
    </row>
    <row r="12" spans="1:10" s="91" customFormat="1" ht="18" customHeight="1">
      <c r="A12" s="92">
        <f t="shared" si="1"/>
        <v>6</v>
      </c>
      <c r="B12" s="93" t="s">
        <v>64</v>
      </c>
      <c r="C12" s="41">
        <f>666.6</f>
        <v>666.6</v>
      </c>
      <c r="D12" s="46">
        <f t="shared" si="0"/>
        <v>13832.77</v>
      </c>
      <c r="E12" s="42"/>
      <c r="F12" s="42"/>
      <c r="G12" s="42"/>
      <c r="H12" s="42"/>
      <c r="I12" s="42"/>
      <c r="J12" s="42"/>
    </row>
    <row r="13" spans="1:10" s="14" customFormat="1" ht="18" customHeight="1">
      <c r="A13" s="92">
        <f t="shared" si="1"/>
        <v>7</v>
      </c>
      <c r="B13" s="61" t="s">
        <v>56</v>
      </c>
      <c r="C13" s="41">
        <v>1547</v>
      </c>
      <c r="D13" s="46">
        <f t="shared" si="0"/>
        <v>32102.15</v>
      </c>
      <c r="E13" s="51"/>
      <c r="F13" s="51"/>
      <c r="G13" s="51"/>
      <c r="H13" s="51"/>
      <c r="I13" s="51"/>
      <c r="J13" s="51"/>
    </row>
    <row r="14" spans="1:10" s="91" customFormat="1" ht="57.75" customHeight="1">
      <c r="A14" s="92">
        <f t="shared" si="1"/>
        <v>8</v>
      </c>
      <c r="B14" s="59" t="s">
        <v>42</v>
      </c>
      <c r="C14" s="41">
        <f>3330.8+34-40-15+24-40+30+20+15-4+8-4</f>
        <v>3358.8</v>
      </c>
      <c r="D14" s="46">
        <f>ROUND(C14/C$39*C$40,2)+0.01</f>
        <v>69699.23999999999</v>
      </c>
      <c r="E14" s="42"/>
      <c r="F14" s="42"/>
      <c r="G14" s="42"/>
      <c r="H14" s="42"/>
      <c r="I14" s="42"/>
      <c r="J14" s="42"/>
    </row>
    <row r="15" spans="1:10" s="14" customFormat="1" ht="18" customHeight="1">
      <c r="A15" s="92">
        <f t="shared" si="1"/>
        <v>9</v>
      </c>
      <c r="B15" s="59" t="s">
        <v>55</v>
      </c>
      <c r="C15" s="41">
        <f>428.2-10</f>
        <v>418.2</v>
      </c>
      <c r="D15" s="46">
        <f aca="true" t="shared" si="2" ref="D15:D38">ROUND(C15/C$39*C$40,2)</f>
        <v>8678.16</v>
      </c>
      <c r="E15" s="51"/>
      <c r="F15" s="51"/>
      <c r="G15" s="51"/>
      <c r="H15" s="51"/>
      <c r="I15" s="51"/>
      <c r="J15" s="51"/>
    </row>
    <row r="16" spans="1:10" s="91" customFormat="1" ht="18" customHeight="1">
      <c r="A16" s="92">
        <f t="shared" si="1"/>
        <v>10</v>
      </c>
      <c r="B16" s="59" t="s">
        <v>43</v>
      </c>
      <c r="C16" s="41">
        <v>374.3</v>
      </c>
      <c r="D16" s="46">
        <f t="shared" si="2"/>
        <v>7767.19</v>
      </c>
      <c r="E16" s="42"/>
      <c r="F16" s="42"/>
      <c r="G16" s="42"/>
      <c r="H16" s="42"/>
      <c r="I16" s="42"/>
      <c r="J16" s="42"/>
    </row>
    <row r="17" spans="1:10" s="91" customFormat="1" ht="18" customHeight="1">
      <c r="A17" s="92">
        <f t="shared" si="1"/>
        <v>11</v>
      </c>
      <c r="B17" s="59" t="s">
        <v>44</v>
      </c>
      <c r="C17" s="41">
        <f>370.25+41</f>
        <v>411.25</v>
      </c>
      <c r="D17" s="46">
        <f t="shared" si="2"/>
        <v>8533.94</v>
      </c>
      <c r="E17" s="42"/>
      <c r="F17" s="42"/>
      <c r="G17" s="42"/>
      <c r="H17" s="42"/>
      <c r="I17" s="42"/>
      <c r="J17" s="42"/>
    </row>
    <row r="18" spans="1:10" s="91" customFormat="1" ht="18" customHeight="1">
      <c r="A18" s="92">
        <f t="shared" si="1"/>
        <v>12</v>
      </c>
      <c r="B18" s="59" t="s">
        <v>28</v>
      </c>
      <c r="C18" s="41">
        <f>847.5-30-45+40+40-25-15+15</f>
        <v>827.5</v>
      </c>
      <c r="D18" s="46">
        <f t="shared" si="2"/>
        <v>17171.64</v>
      </c>
      <c r="E18" s="42"/>
      <c r="F18" s="42"/>
      <c r="G18" s="42"/>
      <c r="H18" s="42"/>
      <c r="I18" s="42"/>
      <c r="J18" s="42"/>
    </row>
    <row r="19" spans="1:10" s="91" customFormat="1" ht="18" customHeight="1">
      <c r="A19" s="92">
        <f t="shared" si="1"/>
        <v>13</v>
      </c>
      <c r="B19" s="59" t="s">
        <v>17</v>
      </c>
      <c r="C19" s="41">
        <f>684.36-20</f>
        <v>664.36</v>
      </c>
      <c r="D19" s="46">
        <f t="shared" si="2"/>
        <v>13786.29</v>
      </c>
      <c r="E19" s="42"/>
      <c r="F19" s="42"/>
      <c r="G19" s="42"/>
      <c r="H19" s="42"/>
      <c r="I19" s="42"/>
      <c r="J19" s="42"/>
    </row>
    <row r="20" spans="1:10" s="91" customFormat="1" ht="18" customHeight="1">
      <c r="A20" s="92">
        <f t="shared" si="1"/>
        <v>14</v>
      </c>
      <c r="B20" s="59" t="s">
        <v>18</v>
      </c>
      <c r="C20" s="41">
        <f>560.4+45+110-15</f>
        <v>700.4</v>
      </c>
      <c r="D20" s="46">
        <f t="shared" si="2"/>
        <v>14534.16</v>
      </c>
      <c r="E20" s="42"/>
      <c r="F20" s="42"/>
      <c r="G20" s="42"/>
      <c r="H20" s="42"/>
      <c r="I20" s="42"/>
      <c r="J20" s="42"/>
    </row>
    <row r="21" spans="1:10" s="14" customFormat="1" ht="18" customHeight="1">
      <c r="A21" s="92">
        <f t="shared" si="1"/>
        <v>15</v>
      </c>
      <c r="B21" s="59" t="s">
        <v>53</v>
      </c>
      <c r="C21" s="41">
        <f>387.48+15</f>
        <v>402.48</v>
      </c>
      <c r="D21" s="46">
        <f t="shared" si="2"/>
        <v>8351.95</v>
      </c>
      <c r="E21" s="51"/>
      <c r="F21" s="51"/>
      <c r="G21" s="51"/>
      <c r="H21" s="51"/>
      <c r="I21" s="51"/>
      <c r="J21" s="51"/>
    </row>
    <row r="22" spans="1:10" s="91" customFormat="1" ht="18" customHeight="1">
      <c r="A22" s="92">
        <f t="shared" si="1"/>
        <v>16</v>
      </c>
      <c r="B22" s="59" t="s">
        <v>45</v>
      </c>
      <c r="C22" s="41">
        <v>487</v>
      </c>
      <c r="D22" s="46">
        <f t="shared" si="2"/>
        <v>10105.85</v>
      </c>
      <c r="E22" s="42"/>
      <c r="F22" s="42"/>
      <c r="G22" s="42"/>
      <c r="H22" s="42"/>
      <c r="I22" s="42"/>
      <c r="J22" s="42"/>
    </row>
    <row r="23" spans="1:10" s="24" customFormat="1" ht="18" customHeight="1">
      <c r="A23" s="92">
        <f t="shared" si="1"/>
        <v>17</v>
      </c>
      <c r="B23" s="59" t="s">
        <v>19</v>
      </c>
      <c r="C23" s="41">
        <v>364.4</v>
      </c>
      <c r="D23" s="46">
        <f t="shared" si="2"/>
        <v>7561.75</v>
      </c>
      <c r="E23" s="34"/>
      <c r="F23" s="34"/>
      <c r="G23" s="34"/>
      <c r="H23" s="34"/>
      <c r="I23" s="34"/>
      <c r="J23" s="34"/>
    </row>
    <row r="24" spans="1:10" s="91" customFormat="1" ht="18" customHeight="1">
      <c r="A24" s="92">
        <f t="shared" si="1"/>
        <v>18</v>
      </c>
      <c r="B24" s="59" t="s">
        <v>62</v>
      </c>
      <c r="C24" s="41">
        <f>677-10+10</f>
        <v>677</v>
      </c>
      <c r="D24" s="46">
        <f t="shared" si="2"/>
        <v>14048.58</v>
      </c>
      <c r="E24" s="42"/>
      <c r="F24" s="42"/>
      <c r="G24" s="42"/>
      <c r="H24" s="42"/>
      <c r="I24" s="42"/>
      <c r="J24" s="42"/>
    </row>
    <row r="25" spans="1:10" s="14" customFormat="1" ht="18" customHeight="1">
      <c r="A25" s="92">
        <f t="shared" si="1"/>
        <v>19</v>
      </c>
      <c r="B25" s="59" t="s">
        <v>54</v>
      </c>
      <c r="C25" s="41">
        <v>681.4</v>
      </c>
      <c r="D25" s="46">
        <f t="shared" si="2"/>
        <v>14139.89</v>
      </c>
      <c r="E25" s="51"/>
      <c r="F25" s="51"/>
      <c r="G25" s="51"/>
      <c r="H25" s="51"/>
      <c r="I25" s="51"/>
      <c r="J25" s="51"/>
    </row>
    <row r="26" spans="1:10" s="14" customFormat="1" ht="36" customHeight="1">
      <c r="A26" s="92">
        <f t="shared" si="1"/>
        <v>20</v>
      </c>
      <c r="B26" s="59" t="s">
        <v>22</v>
      </c>
      <c r="C26" s="41">
        <f>1391+15+158</f>
        <v>1564</v>
      </c>
      <c r="D26" s="46">
        <f t="shared" si="2"/>
        <v>32454.92</v>
      </c>
      <c r="E26" s="51"/>
      <c r="F26" s="51"/>
      <c r="G26" s="51"/>
      <c r="H26" s="51"/>
      <c r="I26" s="51"/>
      <c r="J26" s="51"/>
    </row>
    <row r="27" spans="1:10" s="14" customFormat="1" ht="18" customHeight="1">
      <c r="A27" s="92">
        <f t="shared" si="1"/>
        <v>21</v>
      </c>
      <c r="B27" s="59" t="s">
        <v>35</v>
      </c>
      <c r="C27" s="41">
        <v>762.2</v>
      </c>
      <c r="D27" s="46">
        <f t="shared" si="2"/>
        <v>15816.59</v>
      </c>
      <c r="E27" s="51"/>
      <c r="F27" s="51"/>
      <c r="G27" s="51"/>
      <c r="H27" s="51"/>
      <c r="I27" s="51"/>
      <c r="J27" s="51"/>
    </row>
    <row r="28" spans="1:10" s="14" customFormat="1" ht="18" customHeight="1">
      <c r="A28" s="92">
        <f t="shared" si="1"/>
        <v>22</v>
      </c>
      <c r="B28" s="59" t="s">
        <v>46</v>
      </c>
      <c r="C28" s="41">
        <v>743.08</v>
      </c>
      <c r="D28" s="46">
        <f t="shared" si="2"/>
        <v>15419.82</v>
      </c>
      <c r="E28" s="51"/>
      <c r="F28" s="51"/>
      <c r="G28" s="51"/>
      <c r="H28" s="51"/>
      <c r="I28" s="51"/>
      <c r="J28" s="51"/>
    </row>
    <row r="29" spans="1:10" s="14" customFormat="1" ht="18" customHeight="1">
      <c r="A29" s="92">
        <f t="shared" si="1"/>
        <v>23</v>
      </c>
      <c r="B29" s="59" t="s">
        <v>47</v>
      </c>
      <c r="C29" s="41">
        <f>699-40</f>
        <v>659</v>
      </c>
      <c r="D29" s="46">
        <f t="shared" si="2"/>
        <v>13675.06</v>
      </c>
      <c r="E29" s="51"/>
      <c r="F29" s="51"/>
      <c r="G29" s="51"/>
      <c r="H29" s="51"/>
      <c r="I29" s="51"/>
      <c r="J29" s="51"/>
    </row>
    <row r="30" spans="1:10" s="1" customFormat="1" ht="18" customHeight="1">
      <c r="A30" s="92">
        <f t="shared" si="1"/>
        <v>24</v>
      </c>
      <c r="B30" s="60" t="s">
        <v>63</v>
      </c>
      <c r="C30" s="41">
        <v>372.92999999999995</v>
      </c>
      <c r="D30" s="46">
        <f t="shared" si="2"/>
        <v>7738.76</v>
      </c>
      <c r="E30" s="4"/>
      <c r="F30" s="4"/>
      <c r="G30" s="4"/>
      <c r="H30" s="4"/>
      <c r="I30" s="4"/>
      <c r="J30" s="4"/>
    </row>
    <row r="31" spans="1:10" s="14" customFormat="1" ht="18" customHeight="1">
      <c r="A31" s="92">
        <f t="shared" si="1"/>
        <v>25</v>
      </c>
      <c r="B31" s="59" t="s">
        <v>48</v>
      </c>
      <c r="C31" s="41">
        <f>1024.3+10</f>
        <v>1034.3</v>
      </c>
      <c r="D31" s="46">
        <f t="shared" si="2"/>
        <v>21463</v>
      </c>
      <c r="E31" s="51"/>
      <c r="F31" s="51"/>
      <c r="G31" s="51"/>
      <c r="H31" s="51"/>
      <c r="I31" s="51"/>
      <c r="J31" s="51"/>
    </row>
    <row r="32" spans="1:10" s="14" customFormat="1" ht="30" customHeight="1">
      <c r="A32" s="92">
        <f t="shared" si="1"/>
        <v>26</v>
      </c>
      <c r="B32" s="59" t="s">
        <v>49</v>
      </c>
      <c r="C32" s="41">
        <f>2320.6+15+30+49.2+30</f>
        <v>2444.7999999999997</v>
      </c>
      <c r="D32" s="46">
        <f t="shared" si="2"/>
        <v>50732.61</v>
      </c>
      <c r="E32" s="51"/>
      <c r="F32" s="51"/>
      <c r="G32" s="51"/>
      <c r="H32" s="51"/>
      <c r="I32" s="51"/>
      <c r="J32" s="51"/>
    </row>
    <row r="33" spans="1:10" s="14" customFormat="1" ht="18" customHeight="1">
      <c r="A33" s="92">
        <f t="shared" si="1"/>
        <v>27</v>
      </c>
      <c r="B33" s="59" t="s">
        <v>50</v>
      </c>
      <c r="C33" s="41">
        <f>584.7+2.5+32.4</f>
        <v>619.6</v>
      </c>
      <c r="D33" s="46">
        <f t="shared" si="2"/>
        <v>12857.46</v>
      </c>
      <c r="E33" s="51"/>
      <c r="F33" s="51"/>
      <c r="G33" s="51"/>
      <c r="H33" s="51"/>
      <c r="I33" s="51"/>
      <c r="J33" s="51"/>
    </row>
    <row r="34" spans="1:10" s="25" customFormat="1" ht="18" customHeight="1">
      <c r="A34" s="92">
        <f t="shared" si="1"/>
        <v>28</v>
      </c>
      <c r="B34" s="59" t="s">
        <v>23</v>
      </c>
      <c r="C34" s="41">
        <f>865.29-15</f>
        <v>850.29</v>
      </c>
      <c r="D34" s="46">
        <f t="shared" si="2"/>
        <v>17644.56</v>
      </c>
      <c r="E34" s="50"/>
      <c r="F34" s="50"/>
      <c r="G34" s="50"/>
      <c r="H34" s="50"/>
      <c r="I34" s="50"/>
      <c r="J34" s="50"/>
    </row>
    <row r="35" spans="1:10" s="14" customFormat="1" ht="42.75" customHeight="1">
      <c r="A35" s="92">
        <f t="shared" si="1"/>
        <v>29</v>
      </c>
      <c r="B35" s="59" t="s">
        <v>20</v>
      </c>
      <c r="C35" s="41">
        <f>929.85+15+152+115-20+45</f>
        <v>1236.85</v>
      </c>
      <c r="D35" s="46">
        <f t="shared" si="2"/>
        <v>25666.16</v>
      </c>
      <c r="E35" s="51"/>
      <c r="F35" s="51"/>
      <c r="G35" s="51"/>
      <c r="H35" s="51"/>
      <c r="I35" s="51"/>
      <c r="J35" s="51"/>
    </row>
    <row r="36" spans="1:10" s="14" customFormat="1" ht="18" customHeight="1">
      <c r="A36" s="92">
        <f t="shared" si="1"/>
        <v>30</v>
      </c>
      <c r="B36" s="59" t="s">
        <v>51</v>
      </c>
      <c r="C36" s="56">
        <v>621.31</v>
      </c>
      <c r="D36" s="46">
        <f t="shared" si="2"/>
        <v>12892.95</v>
      </c>
      <c r="E36" s="51"/>
      <c r="F36" s="51"/>
      <c r="G36" s="51"/>
      <c r="H36" s="51"/>
      <c r="I36" s="51"/>
      <c r="J36" s="51"/>
    </row>
    <row r="37" spans="1:10" ht="20.25" customHeight="1">
      <c r="A37" s="92">
        <f t="shared" si="1"/>
        <v>31</v>
      </c>
      <c r="B37" s="60" t="s">
        <v>52</v>
      </c>
      <c r="C37" s="56">
        <f>1549.14-7.2</f>
        <v>1541.94</v>
      </c>
      <c r="D37" s="46">
        <f t="shared" si="2"/>
        <v>31997.15</v>
      </c>
      <c r="E37" s="49"/>
      <c r="F37" s="49"/>
      <c r="G37" s="49"/>
      <c r="H37" s="49"/>
      <c r="I37" s="49"/>
      <c r="J37" s="49"/>
    </row>
    <row r="38" spans="1:10" ht="18" customHeight="1">
      <c r="A38" s="92">
        <f t="shared" si="1"/>
        <v>32</v>
      </c>
      <c r="B38" s="60" t="s">
        <v>21</v>
      </c>
      <c r="C38" s="56">
        <v>1230.6</v>
      </c>
      <c r="D38" s="46">
        <f t="shared" si="2"/>
        <v>25536.46</v>
      </c>
      <c r="E38" s="49"/>
      <c r="F38" s="49"/>
      <c r="G38" s="49"/>
      <c r="H38" s="49"/>
      <c r="I38" s="49"/>
      <c r="J38" s="49"/>
    </row>
    <row r="39" spans="1:10" ht="18" customHeight="1">
      <c r="A39" s="15"/>
      <c r="B39" s="94" t="s">
        <v>3</v>
      </c>
      <c r="C39" s="5">
        <f>SUM(C7:C38)</f>
        <v>30266.51</v>
      </c>
      <c r="D39" s="5">
        <f>SUM(D7:D38)</f>
        <v>628067.3</v>
      </c>
      <c r="E39" s="49"/>
      <c r="F39" s="49"/>
      <c r="G39" s="49"/>
      <c r="H39" s="49"/>
      <c r="I39" s="49"/>
      <c r="J39" s="49"/>
    </row>
    <row r="40" spans="1:10" ht="12.75">
      <c r="A40" s="15"/>
      <c r="B40" s="95" t="s">
        <v>25</v>
      </c>
      <c r="C40" s="5">
        <f>C41*0.5</f>
        <v>628067.3</v>
      </c>
      <c r="D40" s="45"/>
      <c r="E40" s="49"/>
      <c r="F40" s="49"/>
      <c r="G40" s="49"/>
      <c r="H40" s="49"/>
      <c r="I40" s="49"/>
      <c r="J40" s="49"/>
    </row>
    <row r="41" spans="1:4" ht="13.5" thickBot="1">
      <c r="A41" s="16"/>
      <c r="B41" s="96" t="s">
        <v>5</v>
      </c>
      <c r="C41" s="97">
        <v>1256134.6</v>
      </c>
      <c r="D41" s="98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20.75</v>
      </c>
      <c r="D43" s="17"/>
    </row>
    <row r="44" spans="2:4" ht="12.75">
      <c r="B44" s="12"/>
      <c r="C44" s="3"/>
      <c r="D44" s="17"/>
    </row>
    <row r="45" spans="2:4" ht="12.75">
      <c r="B45" s="99"/>
      <c r="C45" s="100"/>
      <c r="D45" s="17"/>
    </row>
    <row r="46" spans="2:4" ht="12.75">
      <c r="B46" s="99"/>
      <c r="C46" s="100"/>
      <c r="D46" s="17"/>
    </row>
    <row r="47" spans="2:4" ht="12.75">
      <c r="B47" s="99"/>
      <c r="C47" s="100"/>
      <c r="D47" s="17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8">
      <selection activeCell="A1" sqref="A1:IV2"/>
    </sheetView>
  </sheetViews>
  <sheetFormatPr defaultColWidth="9.140625" defaultRowHeight="12.75" outlineLevelRow="1"/>
  <cols>
    <col min="1" max="1" width="3.57421875" style="13" customWidth="1"/>
    <col min="2" max="2" width="38.28125" style="13" customWidth="1"/>
    <col min="3" max="3" width="17.421875" style="1" customWidth="1"/>
    <col min="4" max="4" width="25.140625" style="13" customWidth="1"/>
    <col min="5" max="5" width="28.140625" style="13" hidden="1" customWidth="1"/>
    <col min="6" max="16384" width="9.140625" style="13" customWidth="1"/>
  </cols>
  <sheetData>
    <row r="1" spans="3:5" s="76" customFormat="1" ht="13.5" hidden="1" outlineLevel="1">
      <c r="C1" s="77" t="s">
        <v>7</v>
      </c>
      <c r="D1" s="77"/>
      <c r="E1" s="77"/>
    </row>
    <row r="2" spans="3:5" s="76" customFormat="1" ht="13.5" hidden="1" outlineLevel="1">
      <c r="C2" s="77" t="s">
        <v>24</v>
      </c>
      <c r="D2" s="77"/>
      <c r="E2" s="77"/>
    </row>
    <row r="3" spans="3:5" s="76" customFormat="1" ht="13.5" hidden="1" outlineLevel="1">
      <c r="C3" s="77" t="s">
        <v>57</v>
      </c>
      <c r="D3" s="78"/>
      <c r="E3" s="78"/>
    </row>
    <row r="4" spans="3:5" s="76" customFormat="1" ht="13.5" hidden="1" outlineLevel="1">
      <c r="C4" s="77"/>
      <c r="D4" s="78"/>
      <c r="E4" s="78"/>
    </row>
    <row r="5" spans="3:5" s="76" customFormat="1" ht="13.5" hidden="1" outlineLevel="1">
      <c r="C5" s="77" t="s">
        <v>8</v>
      </c>
      <c r="D5" s="77"/>
      <c r="E5" s="77"/>
    </row>
    <row r="6" spans="3:5" s="76" customFormat="1" ht="33" customHeight="1" hidden="1" outlineLevel="1">
      <c r="C6" s="133" t="s">
        <v>27</v>
      </c>
      <c r="D6" s="133"/>
      <c r="E6" s="79"/>
    </row>
    <row r="7" spans="3:5" s="76" customFormat="1" ht="13.5" hidden="1" outlineLevel="1">
      <c r="C7" s="80" t="s">
        <v>6</v>
      </c>
      <c r="D7" s="81"/>
      <c r="E7" s="81"/>
    </row>
    <row r="8" s="76" customFormat="1" ht="13.5" collapsed="1">
      <c r="C8" s="82"/>
    </row>
    <row r="9" spans="1:5" s="76" customFormat="1" ht="13.5">
      <c r="A9" s="131" t="s">
        <v>30</v>
      </c>
      <c r="B9" s="132"/>
      <c r="C9" s="132"/>
      <c r="D9" s="132"/>
      <c r="E9" s="83"/>
    </row>
    <row r="10" s="19" customFormat="1" ht="15"/>
    <row r="11" s="19" customFormat="1" ht="15">
      <c r="C11" s="104"/>
    </row>
    <row r="12" spans="2:5" s="19" customFormat="1" ht="15.75" thickBot="1">
      <c r="B12" s="126" t="str">
        <f>evaluare!A4</f>
        <v>30/06/2021</v>
      </c>
      <c r="C12" s="127"/>
      <c r="D12" s="87" t="s">
        <v>10</v>
      </c>
      <c r="E12" s="87"/>
    </row>
    <row r="13" spans="1:5" s="1" customFormat="1" ht="39.75" thickBot="1">
      <c r="A13" s="30" t="s">
        <v>0</v>
      </c>
      <c r="B13" s="31" t="s">
        <v>1</v>
      </c>
      <c r="C13" s="62" t="s">
        <v>60</v>
      </c>
      <c r="D13" s="69" t="s">
        <v>36</v>
      </c>
      <c r="E13" s="129" t="s">
        <v>58</v>
      </c>
    </row>
    <row r="14" spans="1:5" s="2" customFormat="1" ht="27" thickBot="1">
      <c r="A14" s="32">
        <v>0</v>
      </c>
      <c r="B14" s="33">
        <v>1</v>
      </c>
      <c r="C14" s="63">
        <v>2</v>
      </c>
      <c r="D14" s="70" t="s">
        <v>37</v>
      </c>
      <c r="E14" s="130"/>
    </row>
    <row r="15" spans="1:5" ht="12.75">
      <c r="A15" s="39">
        <v>1</v>
      </c>
      <c r="B15" s="58" t="s">
        <v>14</v>
      </c>
      <c r="C15" s="44">
        <v>138</v>
      </c>
      <c r="D15" s="71">
        <f>ROUND(C15/C$47*C$48,2)+0.01</f>
        <v>9556.050000000001</v>
      </c>
      <c r="E15" s="64"/>
    </row>
    <row r="16" spans="1:5" ht="12.75">
      <c r="A16" s="40">
        <f>A15+1</f>
        <v>2</v>
      </c>
      <c r="B16" s="59" t="s">
        <v>61</v>
      </c>
      <c r="C16" s="46">
        <v>456</v>
      </c>
      <c r="D16" s="72">
        <f aca="true" t="shared" si="0" ref="D16:D22">ROUND(C16/C$47*C$48,2)</f>
        <v>31576.48</v>
      </c>
      <c r="E16" s="65"/>
    </row>
    <row r="17" spans="1:5" ht="12.75">
      <c r="A17" s="40">
        <f aca="true" t="shared" si="1" ref="A17:A46">A16+1</f>
        <v>3</v>
      </c>
      <c r="B17" s="59" t="s">
        <v>41</v>
      </c>
      <c r="C17" s="46">
        <v>122</v>
      </c>
      <c r="D17" s="72">
        <f t="shared" si="0"/>
        <v>8448.09</v>
      </c>
      <c r="E17" s="65"/>
    </row>
    <row r="18" spans="1:5" ht="12.75">
      <c r="A18" s="40">
        <f t="shared" si="1"/>
        <v>4</v>
      </c>
      <c r="B18" s="59" t="s">
        <v>15</v>
      </c>
      <c r="C18" s="46">
        <v>150</v>
      </c>
      <c r="D18" s="72">
        <f t="shared" si="0"/>
        <v>10387</v>
      </c>
      <c r="E18" s="65"/>
    </row>
    <row r="19" spans="1:5" ht="12.75">
      <c r="A19" s="40">
        <f t="shared" si="1"/>
        <v>5</v>
      </c>
      <c r="B19" s="59" t="s">
        <v>16</v>
      </c>
      <c r="C19" s="46">
        <v>123</v>
      </c>
      <c r="D19" s="72">
        <f t="shared" si="0"/>
        <v>8517.34</v>
      </c>
      <c r="E19" s="65"/>
    </row>
    <row r="20" spans="1:5" ht="12.75">
      <c r="A20" s="40">
        <f t="shared" si="1"/>
        <v>6</v>
      </c>
      <c r="B20" s="93" t="s">
        <v>64</v>
      </c>
      <c r="C20" s="46">
        <f>101</f>
        <v>101</v>
      </c>
      <c r="D20" s="72">
        <f t="shared" si="0"/>
        <v>6993.91</v>
      </c>
      <c r="E20" s="65"/>
    </row>
    <row r="21" spans="1:5" ht="12.75">
      <c r="A21" s="40">
        <f t="shared" si="1"/>
        <v>7</v>
      </c>
      <c r="B21" s="61" t="s">
        <v>56</v>
      </c>
      <c r="C21" s="46">
        <v>278</v>
      </c>
      <c r="D21" s="72">
        <f>ROUND(C21/C$47*C$48,2)+0.03</f>
        <v>19250.6</v>
      </c>
      <c r="E21" s="65"/>
    </row>
    <row r="22" spans="1:5" ht="12.75">
      <c r="A22" s="40">
        <f t="shared" si="1"/>
        <v>8</v>
      </c>
      <c r="B22" s="59" t="s">
        <v>42</v>
      </c>
      <c r="C22" s="46">
        <v>161</v>
      </c>
      <c r="D22" s="72">
        <f t="shared" si="0"/>
        <v>11148.71</v>
      </c>
      <c r="E22" s="65"/>
    </row>
    <row r="23" spans="1:5" ht="22.5">
      <c r="A23" s="40">
        <f t="shared" si="1"/>
        <v>9</v>
      </c>
      <c r="B23" s="59" t="s">
        <v>55</v>
      </c>
      <c r="C23" s="46">
        <v>71</v>
      </c>
      <c r="D23" s="72">
        <f aca="true" t="shared" si="2" ref="D23:D46">ROUND(C23/C$47*C$48,2)</f>
        <v>4916.51</v>
      </c>
      <c r="E23" s="65"/>
    </row>
    <row r="24" spans="1:5" ht="12.75">
      <c r="A24" s="40">
        <f t="shared" si="1"/>
        <v>10</v>
      </c>
      <c r="B24" s="59" t="s">
        <v>43</v>
      </c>
      <c r="C24" s="46">
        <v>144</v>
      </c>
      <c r="D24" s="72">
        <f t="shared" si="2"/>
        <v>9971.52</v>
      </c>
      <c r="E24" s="65"/>
    </row>
    <row r="25" spans="1:5" ht="12.75">
      <c r="A25" s="40">
        <f t="shared" si="1"/>
        <v>11</v>
      </c>
      <c r="B25" s="59" t="s">
        <v>44</v>
      </c>
      <c r="C25" s="46">
        <f>65+63+4</f>
        <v>132</v>
      </c>
      <c r="D25" s="72">
        <f t="shared" si="2"/>
        <v>9140.56</v>
      </c>
      <c r="E25" s="65"/>
    </row>
    <row r="26" spans="1:5" ht="12.75">
      <c r="A26" s="40">
        <f t="shared" si="1"/>
        <v>12</v>
      </c>
      <c r="B26" s="59" t="s">
        <v>28</v>
      </c>
      <c r="C26" s="46">
        <v>157</v>
      </c>
      <c r="D26" s="72">
        <f t="shared" si="2"/>
        <v>10871.73</v>
      </c>
      <c r="E26" s="65"/>
    </row>
    <row r="27" spans="1:5" ht="12.75">
      <c r="A27" s="40">
        <f t="shared" si="1"/>
        <v>13</v>
      </c>
      <c r="B27" s="59" t="s">
        <v>17</v>
      </c>
      <c r="C27" s="46">
        <v>161</v>
      </c>
      <c r="D27" s="72">
        <f t="shared" si="2"/>
        <v>11148.71</v>
      </c>
      <c r="E27" s="65"/>
    </row>
    <row r="28" spans="1:5" s="14" customFormat="1" ht="12.75">
      <c r="A28" s="40">
        <f t="shared" si="1"/>
        <v>14</v>
      </c>
      <c r="B28" s="59" t="s">
        <v>18</v>
      </c>
      <c r="C28" s="46">
        <v>120</v>
      </c>
      <c r="D28" s="72">
        <f t="shared" si="2"/>
        <v>8309.6</v>
      </c>
      <c r="E28" s="65"/>
    </row>
    <row r="29" spans="1:5" ht="12.75">
      <c r="A29" s="40">
        <f t="shared" si="1"/>
        <v>15</v>
      </c>
      <c r="B29" s="59" t="s">
        <v>53</v>
      </c>
      <c r="C29" s="46">
        <v>72</v>
      </c>
      <c r="D29" s="72">
        <f t="shared" si="2"/>
        <v>4985.76</v>
      </c>
      <c r="E29" s="65"/>
    </row>
    <row r="30" spans="1:5" ht="12.75">
      <c r="A30" s="40">
        <f t="shared" si="1"/>
        <v>16</v>
      </c>
      <c r="B30" s="59" t="s">
        <v>45</v>
      </c>
      <c r="C30" s="46">
        <v>140</v>
      </c>
      <c r="D30" s="72">
        <f t="shared" si="2"/>
        <v>9694.53</v>
      </c>
      <c r="E30" s="65"/>
    </row>
    <row r="31" spans="1:5" ht="12.75">
      <c r="A31" s="40">
        <f t="shared" si="1"/>
        <v>17</v>
      </c>
      <c r="B31" s="59" t="s">
        <v>19</v>
      </c>
      <c r="C31" s="46">
        <v>151</v>
      </c>
      <c r="D31" s="72">
        <f t="shared" si="2"/>
        <v>10456.25</v>
      </c>
      <c r="E31" s="65"/>
    </row>
    <row r="32" spans="1:5" ht="12.75">
      <c r="A32" s="40">
        <f t="shared" si="1"/>
        <v>18</v>
      </c>
      <c r="B32" s="59" t="s">
        <v>62</v>
      </c>
      <c r="C32" s="46">
        <v>135</v>
      </c>
      <c r="D32" s="72">
        <f t="shared" si="2"/>
        <v>9348.3</v>
      </c>
      <c r="E32" s="65"/>
    </row>
    <row r="33" spans="1:5" ht="12.75">
      <c r="A33" s="40">
        <f t="shared" si="1"/>
        <v>19</v>
      </c>
      <c r="B33" s="59" t="s">
        <v>54</v>
      </c>
      <c r="C33" s="46">
        <v>131</v>
      </c>
      <c r="D33" s="72">
        <f t="shared" si="2"/>
        <v>9071.31</v>
      </c>
      <c r="E33" s="65"/>
    </row>
    <row r="34" spans="1:5" ht="12.75">
      <c r="A34" s="40">
        <f t="shared" si="1"/>
        <v>20</v>
      </c>
      <c r="B34" s="59" t="s">
        <v>22</v>
      </c>
      <c r="C34" s="46">
        <v>151</v>
      </c>
      <c r="D34" s="72">
        <f t="shared" si="2"/>
        <v>10456.25</v>
      </c>
      <c r="E34" s="65"/>
    </row>
    <row r="35" spans="1:5" ht="26.25">
      <c r="A35" s="40">
        <f t="shared" si="1"/>
        <v>21</v>
      </c>
      <c r="B35" s="59" t="s">
        <v>35</v>
      </c>
      <c r="C35" s="46">
        <v>84</v>
      </c>
      <c r="D35" s="72">
        <f t="shared" si="2"/>
        <v>5816.72</v>
      </c>
      <c r="E35" s="66" t="s">
        <v>59</v>
      </c>
    </row>
    <row r="36" spans="1:5" ht="12.75">
      <c r="A36" s="40">
        <f t="shared" si="1"/>
        <v>22</v>
      </c>
      <c r="B36" s="59" t="s">
        <v>46</v>
      </c>
      <c r="C36" s="46">
        <v>113</v>
      </c>
      <c r="D36" s="72">
        <f t="shared" si="2"/>
        <v>7824.87</v>
      </c>
      <c r="E36" s="65"/>
    </row>
    <row r="37" spans="1:5" ht="12.75">
      <c r="A37" s="40">
        <f t="shared" si="1"/>
        <v>23</v>
      </c>
      <c r="B37" s="59" t="s">
        <v>47</v>
      </c>
      <c r="C37" s="46">
        <v>71</v>
      </c>
      <c r="D37" s="72">
        <f t="shared" si="2"/>
        <v>4916.51</v>
      </c>
      <c r="E37" s="65"/>
    </row>
    <row r="38" spans="1:5" ht="12.75">
      <c r="A38" s="40">
        <f t="shared" si="1"/>
        <v>24</v>
      </c>
      <c r="B38" s="60" t="s">
        <v>63</v>
      </c>
      <c r="C38" s="46">
        <v>91</v>
      </c>
      <c r="D38" s="72">
        <f t="shared" si="2"/>
        <v>6301.45</v>
      </c>
      <c r="E38" s="65"/>
    </row>
    <row r="39" spans="1:5" ht="22.5">
      <c r="A39" s="40">
        <f t="shared" si="1"/>
        <v>25</v>
      </c>
      <c r="B39" s="59" t="s">
        <v>48</v>
      </c>
      <c r="C39" s="46">
        <v>119</v>
      </c>
      <c r="D39" s="72">
        <f t="shared" si="2"/>
        <v>8240.35</v>
      </c>
      <c r="E39" s="65"/>
    </row>
    <row r="40" spans="1:5" ht="22.5">
      <c r="A40" s="40">
        <f t="shared" si="1"/>
        <v>26</v>
      </c>
      <c r="B40" s="59" t="s">
        <v>49</v>
      </c>
      <c r="C40" s="46">
        <v>159</v>
      </c>
      <c r="D40" s="72">
        <f t="shared" si="2"/>
        <v>11010.22</v>
      </c>
      <c r="E40" s="65"/>
    </row>
    <row r="41" spans="1:5" ht="12.75">
      <c r="A41" s="40">
        <f t="shared" si="1"/>
        <v>27</v>
      </c>
      <c r="B41" s="59" t="s">
        <v>50</v>
      </c>
      <c r="C41" s="46">
        <f>74-8</f>
        <v>66</v>
      </c>
      <c r="D41" s="72">
        <f t="shared" si="2"/>
        <v>4570.28</v>
      </c>
      <c r="E41" s="65"/>
    </row>
    <row r="42" spans="1:5" ht="12.75">
      <c r="A42" s="40">
        <f t="shared" si="1"/>
        <v>28</v>
      </c>
      <c r="B42" s="59" t="s">
        <v>23</v>
      </c>
      <c r="C42" s="46">
        <f>144</f>
        <v>144</v>
      </c>
      <c r="D42" s="72">
        <f t="shared" si="2"/>
        <v>9971.52</v>
      </c>
      <c r="E42" s="65"/>
    </row>
    <row r="43" spans="1:5" ht="12.75">
      <c r="A43" s="40">
        <f t="shared" si="1"/>
        <v>29</v>
      </c>
      <c r="B43" s="59" t="s">
        <v>20</v>
      </c>
      <c r="C43" s="46">
        <v>155</v>
      </c>
      <c r="D43" s="72">
        <f t="shared" si="2"/>
        <v>10733.23</v>
      </c>
      <c r="E43" s="65"/>
    </row>
    <row r="44" spans="1:5" ht="12.75">
      <c r="A44" s="40">
        <f t="shared" si="1"/>
        <v>30</v>
      </c>
      <c r="B44" s="59" t="s">
        <v>51</v>
      </c>
      <c r="C44" s="46">
        <v>130</v>
      </c>
      <c r="D44" s="72">
        <f t="shared" si="2"/>
        <v>9002.07</v>
      </c>
      <c r="E44" s="65"/>
    </row>
    <row r="45" spans="1:5" ht="12.75">
      <c r="A45" s="40">
        <f t="shared" si="1"/>
        <v>31</v>
      </c>
      <c r="B45" s="60" t="s">
        <v>52</v>
      </c>
      <c r="C45" s="46">
        <v>156</v>
      </c>
      <c r="D45" s="72">
        <f t="shared" si="2"/>
        <v>10802.48</v>
      </c>
      <c r="E45" s="65"/>
    </row>
    <row r="46" spans="1:5" ht="12.75">
      <c r="A46" s="40">
        <f t="shared" si="1"/>
        <v>32</v>
      </c>
      <c r="B46" s="60" t="s">
        <v>21</v>
      </c>
      <c r="C46" s="46">
        <v>153</v>
      </c>
      <c r="D46" s="72">
        <f t="shared" si="2"/>
        <v>10594.74</v>
      </c>
      <c r="E46" s="65"/>
    </row>
    <row r="47" spans="1:5" s="1" customFormat="1" ht="13.5" thickBot="1">
      <c r="A47" s="6"/>
      <c r="B47" s="10" t="s">
        <v>3</v>
      </c>
      <c r="C47" s="45">
        <f>SUM(C15:C46)</f>
        <v>4535</v>
      </c>
      <c r="D47" s="73">
        <f>SUM(D15:D46)</f>
        <v>314033.65</v>
      </c>
      <c r="E47" s="67"/>
    </row>
    <row r="48" spans="1:5" ht="13.5" thickBot="1">
      <c r="A48" s="16"/>
      <c r="B48" s="11" t="s">
        <v>32</v>
      </c>
      <c r="C48" s="47">
        <f>ROUND(evaluare!C41*0.5*0.5,2)</f>
        <v>314033.65</v>
      </c>
      <c r="D48" s="68"/>
      <c r="E48" s="47"/>
    </row>
    <row r="49" spans="2:5" ht="12.75">
      <c r="B49" s="43"/>
      <c r="C49" s="7"/>
      <c r="D49" s="43"/>
      <c r="E49" s="43"/>
    </row>
    <row r="50" spans="2:5" ht="12.75">
      <c r="B50" s="12" t="s">
        <v>4</v>
      </c>
      <c r="C50" s="3">
        <f>ROUND(C48/C47,2)</f>
        <v>69.25</v>
      </c>
      <c r="D50" s="17"/>
      <c r="E50" s="17"/>
    </row>
    <row r="51" spans="2:5" ht="12.75">
      <c r="B51" s="43"/>
      <c r="C51" s="3"/>
      <c r="D51" s="17"/>
      <c r="E51" s="17"/>
    </row>
  </sheetData>
  <sheetProtection/>
  <mergeCells count="4">
    <mergeCell ref="E13:E14"/>
    <mergeCell ref="A9:D9"/>
    <mergeCell ref="C6:D6"/>
    <mergeCell ref="B12:C12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zoomScalePageLayoutView="0" workbookViewId="0" topLeftCell="A23">
      <selection activeCell="A52" sqref="A52:IV54"/>
    </sheetView>
  </sheetViews>
  <sheetFormatPr defaultColWidth="9.140625" defaultRowHeight="12.75" outlineLevelRow="1"/>
  <cols>
    <col min="1" max="1" width="3.57421875" style="13" customWidth="1"/>
    <col min="2" max="2" width="42.28125" style="13" customWidth="1"/>
    <col min="3" max="3" width="21.8515625" style="4" customWidth="1"/>
    <col min="4" max="4" width="16.7109375" style="13" customWidth="1"/>
    <col min="5" max="16384" width="9.140625" style="13" customWidth="1"/>
  </cols>
  <sheetData>
    <row r="1" spans="3:4" s="76" customFormat="1" ht="13.5" hidden="1" outlineLevel="1">
      <c r="C1" s="77" t="s">
        <v>7</v>
      </c>
      <c r="D1" s="77"/>
    </row>
    <row r="2" spans="3:4" s="76" customFormat="1" ht="13.5" hidden="1" outlineLevel="1">
      <c r="C2" s="77" t="s">
        <v>24</v>
      </c>
      <c r="D2" s="77"/>
    </row>
    <row r="3" spans="3:4" s="76" customFormat="1" ht="13.5" hidden="1" outlineLevel="1">
      <c r="C3" s="77" t="s">
        <v>57</v>
      </c>
      <c r="D3" s="105"/>
    </row>
    <row r="4" spans="3:4" s="76" customFormat="1" ht="13.5" hidden="1" outlineLevel="1">
      <c r="C4" s="77"/>
      <c r="D4" s="78"/>
    </row>
    <row r="5" spans="3:4" s="76" customFormat="1" ht="13.5" hidden="1" outlineLevel="1">
      <c r="C5" s="77" t="s">
        <v>8</v>
      </c>
      <c r="D5" s="77"/>
    </row>
    <row r="6" spans="3:4" s="76" customFormat="1" ht="30.75" customHeight="1" hidden="1" outlineLevel="1">
      <c r="C6" s="133" t="s">
        <v>27</v>
      </c>
      <c r="D6" s="133"/>
    </row>
    <row r="7" spans="3:4" s="76" customFormat="1" ht="13.5" hidden="1" outlineLevel="1">
      <c r="C7" s="80" t="s">
        <v>6</v>
      </c>
      <c r="D7" s="81"/>
    </row>
    <row r="8" s="76" customFormat="1" ht="13.5" collapsed="1">
      <c r="C8" s="106"/>
    </row>
    <row r="9" spans="1:4" s="82" customFormat="1" ht="36" customHeight="1">
      <c r="A9" s="131" t="s">
        <v>31</v>
      </c>
      <c r="B9" s="134"/>
      <c r="C9" s="134"/>
      <c r="D9" s="134"/>
    </row>
    <row r="11" spans="2:3" s="19" customFormat="1" ht="15">
      <c r="B11" s="104"/>
      <c r="C11" s="85"/>
    </row>
    <row r="12" spans="2:4" s="19" customFormat="1" ht="15.75" thickBot="1">
      <c r="B12" s="126" t="str">
        <f>evaluare!A4</f>
        <v>30/06/2021</v>
      </c>
      <c r="C12" s="127"/>
      <c r="D12" s="87" t="s">
        <v>11</v>
      </c>
    </row>
    <row r="13" spans="1:4" s="1" customFormat="1" ht="39.75" thickBot="1">
      <c r="A13" s="30" t="s">
        <v>0</v>
      </c>
      <c r="B13" s="31" t="s">
        <v>1</v>
      </c>
      <c r="C13" s="38" t="s">
        <v>60</v>
      </c>
      <c r="D13" s="52" t="s">
        <v>36</v>
      </c>
    </row>
    <row r="14" spans="1:4" s="2" customFormat="1" ht="27" thickBot="1">
      <c r="A14" s="35">
        <v>0</v>
      </c>
      <c r="B14" s="33">
        <v>1</v>
      </c>
      <c r="C14" s="36">
        <v>2</v>
      </c>
      <c r="D14" s="53" t="s">
        <v>38</v>
      </c>
    </row>
    <row r="15" spans="1:4" ht="12.75">
      <c r="A15" s="39">
        <v>1</v>
      </c>
      <c r="B15" s="58" t="s">
        <v>14</v>
      </c>
      <c r="C15" s="107">
        <v>895</v>
      </c>
      <c r="D15" s="44">
        <f aca="true" t="shared" si="0" ref="D15:D20">ROUND(C15/C$47*C$48,2)</f>
        <v>12432.99</v>
      </c>
    </row>
    <row r="16" spans="1:4" ht="12.75">
      <c r="A16" s="40">
        <f>A15+1</f>
        <v>2</v>
      </c>
      <c r="B16" s="59" t="s">
        <v>61</v>
      </c>
      <c r="C16" s="41">
        <v>2224</v>
      </c>
      <c r="D16" s="46">
        <f t="shared" si="0"/>
        <v>30894.93</v>
      </c>
    </row>
    <row r="17" spans="1:4" ht="12.75">
      <c r="A17" s="40">
        <f aca="true" t="shared" si="1" ref="A17:A46">A16+1</f>
        <v>3</v>
      </c>
      <c r="B17" s="59" t="s">
        <v>41</v>
      </c>
      <c r="C17" s="41">
        <v>396</v>
      </c>
      <c r="D17" s="46">
        <f t="shared" si="0"/>
        <v>5501.08</v>
      </c>
    </row>
    <row r="18" spans="1:4" ht="12.75">
      <c r="A18" s="40">
        <f t="shared" si="1"/>
        <v>4</v>
      </c>
      <c r="B18" s="59" t="s">
        <v>15</v>
      </c>
      <c r="C18" s="41">
        <v>868</v>
      </c>
      <c r="D18" s="46">
        <f t="shared" si="0"/>
        <v>12057.91</v>
      </c>
    </row>
    <row r="19" spans="1:4" ht="12.75">
      <c r="A19" s="40">
        <f t="shared" si="1"/>
        <v>5</v>
      </c>
      <c r="B19" s="59" t="s">
        <v>16</v>
      </c>
      <c r="C19" s="41">
        <v>490</v>
      </c>
      <c r="D19" s="46">
        <f t="shared" si="0"/>
        <v>6806.89</v>
      </c>
    </row>
    <row r="20" spans="1:4" ht="12.75">
      <c r="A20" s="40">
        <f t="shared" si="1"/>
        <v>6</v>
      </c>
      <c r="B20" s="93" t="s">
        <v>64</v>
      </c>
      <c r="C20" s="41">
        <f>248</f>
        <v>248</v>
      </c>
      <c r="D20" s="46">
        <f t="shared" si="0"/>
        <v>3445.12</v>
      </c>
    </row>
    <row r="21" spans="1:4" ht="12.75">
      <c r="A21" s="40">
        <f t="shared" si="1"/>
        <v>7</v>
      </c>
      <c r="B21" s="61" t="s">
        <v>56</v>
      </c>
      <c r="C21" s="41">
        <v>316</v>
      </c>
      <c r="D21" s="46">
        <f>ROUND(C21/C$47*C$48,2)+0.01</f>
        <v>4389.76</v>
      </c>
    </row>
    <row r="22" spans="1:4" ht="12.75">
      <c r="A22" s="40">
        <f t="shared" si="1"/>
        <v>8</v>
      </c>
      <c r="B22" s="59" t="s">
        <v>42</v>
      </c>
      <c r="C22" s="41">
        <v>1300</v>
      </c>
      <c r="D22" s="46">
        <f aca="true" t="shared" si="2" ref="D22:D46">ROUND(C22/C$47*C$48,2)</f>
        <v>18059.09</v>
      </c>
    </row>
    <row r="23" spans="1:4" ht="12.75">
      <c r="A23" s="40">
        <f t="shared" si="1"/>
        <v>9</v>
      </c>
      <c r="B23" s="59" t="s">
        <v>55</v>
      </c>
      <c r="C23" s="41">
        <v>443</v>
      </c>
      <c r="D23" s="46">
        <f t="shared" si="2"/>
        <v>6153.98</v>
      </c>
    </row>
    <row r="24" spans="1:4" ht="12.75">
      <c r="A24" s="40">
        <f t="shared" si="1"/>
        <v>10</v>
      </c>
      <c r="B24" s="59" t="s">
        <v>43</v>
      </c>
      <c r="C24" s="41">
        <v>576</v>
      </c>
      <c r="D24" s="46">
        <f t="shared" si="2"/>
        <v>8001.57</v>
      </c>
    </row>
    <row r="25" spans="1:4" ht="28.5" customHeight="1">
      <c r="A25" s="40">
        <f t="shared" si="1"/>
        <v>11</v>
      </c>
      <c r="B25" s="59" t="s">
        <v>44</v>
      </c>
      <c r="C25" s="41">
        <f>300+398</f>
        <v>698</v>
      </c>
      <c r="D25" s="46">
        <f t="shared" si="2"/>
        <v>9696.34</v>
      </c>
    </row>
    <row r="26" spans="1:4" ht="12.75">
      <c r="A26" s="40">
        <f t="shared" si="1"/>
        <v>12</v>
      </c>
      <c r="B26" s="59" t="s">
        <v>28</v>
      </c>
      <c r="C26" s="41">
        <v>340</v>
      </c>
      <c r="D26" s="46">
        <f t="shared" si="2"/>
        <v>4723.15</v>
      </c>
    </row>
    <row r="27" spans="1:4" ht="12.75">
      <c r="A27" s="40">
        <f t="shared" si="1"/>
        <v>13</v>
      </c>
      <c r="B27" s="59" t="s">
        <v>17</v>
      </c>
      <c r="C27" s="17">
        <v>1128</v>
      </c>
      <c r="D27" s="46">
        <f t="shared" si="2"/>
        <v>15669.73</v>
      </c>
    </row>
    <row r="28" spans="1:4" s="14" customFormat="1" ht="12.75">
      <c r="A28" s="40">
        <f t="shared" si="1"/>
        <v>14</v>
      </c>
      <c r="B28" s="59" t="s">
        <v>18</v>
      </c>
      <c r="C28" s="41">
        <v>696</v>
      </c>
      <c r="D28" s="46">
        <f t="shared" si="2"/>
        <v>9668.56</v>
      </c>
    </row>
    <row r="29" spans="1:4" ht="12.75">
      <c r="A29" s="40">
        <f t="shared" si="1"/>
        <v>15</v>
      </c>
      <c r="B29" s="59" t="s">
        <v>53</v>
      </c>
      <c r="C29" s="41">
        <v>443</v>
      </c>
      <c r="D29" s="46">
        <f t="shared" si="2"/>
        <v>6153.98</v>
      </c>
    </row>
    <row r="30" spans="1:4" s="14" customFormat="1" ht="12.75">
      <c r="A30" s="40">
        <f t="shared" si="1"/>
        <v>16</v>
      </c>
      <c r="B30" s="59" t="s">
        <v>45</v>
      </c>
      <c r="C30" s="17">
        <v>414</v>
      </c>
      <c r="D30" s="46">
        <f t="shared" si="2"/>
        <v>5751.12</v>
      </c>
    </row>
    <row r="31" spans="1:4" ht="12.75">
      <c r="A31" s="40">
        <f t="shared" si="1"/>
        <v>17</v>
      </c>
      <c r="B31" s="59" t="s">
        <v>19</v>
      </c>
      <c r="C31" s="41">
        <v>600</v>
      </c>
      <c r="D31" s="46">
        <f t="shared" si="2"/>
        <v>8334.96</v>
      </c>
    </row>
    <row r="32" spans="1:4" ht="12.75">
      <c r="A32" s="40">
        <f t="shared" si="1"/>
        <v>18</v>
      </c>
      <c r="B32" s="59" t="s">
        <v>62</v>
      </c>
      <c r="C32" s="41">
        <v>713</v>
      </c>
      <c r="D32" s="46">
        <f t="shared" si="2"/>
        <v>9904.72</v>
      </c>
    </row>
    <row r="33" spans="1:4" ht="12.75">
      <c r="A33" s="40">
        <f t="shared" si="1"/>
        <v>19</v>
      </c>
      <c r="B33" s="59" t="s">
        <v>54</v>
      </c>
      <c r="C33" s="41">
        <v>831</v>
      </c>
      <c r="D33" s="46">
        <f t="shared" si="2"/>
        <v>11543.92</v>
      </c>
    </row>
    <row r="34" spans="1:4" ht="12.75">
      <c r="A34" s="40">
        <f t="shared" si="1"/>
        <v>20</v>
      </c>
      <c r="B34" s="59" t="s">
        <v>22</v>
      </c>
      <c r="C34" s="41">
        <v>1028</v>
      </c>
      <c r="D34" s="46">
        <f t="shared" si="2"/>
        <v>14280.57</v>
      </c>
    </row>
    <row r="35" spans="1:4" ht="12.75">
      <c r="A35" s="40">
        <f t="shared" si="1"/>
        <v>21</v>
      </c>
      <c r="B35" s="59" t="s">
        <v>35</v>
      </c>
      <c r="C35" s="41">
        <v>720</v>
      </c>
      <c r="D35" s="46">
        <f t="shared" si="2"/>
        <v>10001.96</v>
      </c>
    </row>
    <row r="36" spans="1:4" ht="12.75">
      <c r="A36" s="40">
        <f t="shared" si="1"/>
        <v>22</v>
      </c>
      <c r="B36" s="59" t="s">
        <v>46</v>
      </c>
      <c r="C36" s="41">
        <v>360</v>
      </c>
      <c r="D36" s="46">
        <f t="shared" si="2"/>
        <v>5000.98</v>
      </c>
    </row>
    <row r="37" spans="1:4" ht="12.75">
      <c r="A37" s="40">
        <f t="shared" si="1"/>
        <v>23</v>
      </c>
      <c r="B37" s="59" t="s">
        <v>47</v>
      </c>
      <c r="C37" s="41">
        <v>320</v>
      </c>
      <c r="D37" s="46">
        <f t="shared" si="2"/>
        <v>4445.31</v>
      </c>
    </row>
    <row r="38" spans="1:4" ht="12.75">
      <c r="A38" s="40">
        <f t="shared" si="1"/>
        <v>24</v>
      </c>
      <c r="B38" s="60" t="s">
        <v>63</v>
      </c>
      <c r="C38" s="41">
        <v>232</v>
      </c>
      <c r="D38" s="46">
        <f t="shared" si="2"/>
        <v>3222.85</v>
      </c>
    </row>
    <row r="39" spans="1:4" ht="22.5">
      <c r="A39" s="40">
        <f t="shared" si="1"/>
        <v>25</v>
      </c>
      <c r="B39" s="59" t="s">
        <v>48</v>
      </c>
      <c r="C39" s="41">
        <v>336</v>
      </c>
      <c r="D39" s="46">
        <f t="shared" si="2"/>
        <v>4667.58</v>
      </c>
    </row>
    <row r="40" spans="1:4" ht="22.5">
      <c r="A40" s="40">
        <f t="shared" si="1"/>
        <v>26</v>
      </c>
      <c r="B40" s="59" t="s">
        <v>49</v>
      </c>
      <c r="C40" s="41">
        <v>1048</v>
      </c>
      <c r="D40" s="46">
        <f t="shared" si="2"/>
        <v>14558.4</v>
      </c>
    </row>
    <row r="41" spans="1:4" ht="12.75">
      <c r="A41" s="40">
        <f t="shared" si="1"/>
        <v>27</v>
      </c>
      <c r="B41" s="59" t="s">
        <v>50</v>
      </c>
      <c r="C41" s="41">
        <v>298</v>
      </c>
      <c r="D41" s="46">
        <f t="shared" si="2"/>
        <v>4139.7</v>
      </c>
    </row>
    <row r="42" spans="1:4" ht="12.75">
      <c r="A42" s="40">
        <f t="shared" si="1"/>
        <v>28</v>
      </c>
      <c r="B42" s="59" t="s">
        <v>23</v>
      </c>
      <c r="C42" s="41">
        <f>600</f>
        <v>600</v>
      </c>
      <c r="D42" s="46">
        <f t="shared" si="2"/>
        <v>8334.96</v>
      </c>
    </row>
    <row r="43" spans="1:4" ht="12.75">
      <c r="A43" s="40">
        <f t="shared" si="1"/>
        <v>29</v>
      </c>
      <c r="B43" s="59" t="s">
        <v>20</v>
      </c>
      <c r="C43" s="41">
        <v>880</v>
      </c>
      <c r="D43" s="46">
        <f t="shared" si="2"/>
        <v>12224.61</v>
      </c>
    </row>
    <row r="44" spans="1:4" ht="12.75">
      <c r="A44" s="40">
        <f t="shared" si="1"/>
        <v>30</v>
      </c>
      <c r="B44" s="59" t="s">
        <v>51</v>
      </c>
      <c r="C44" s="41">
        <v>992</v>
      </c>
      <c r="D44" s="46">
        <f t="shared" si="2"/>
        <v>13780.47</v>
      </c>
    </row>
    <row r="45" spans="1:4" ht="12.75">
      <c r="A45" s="40">
        <f t="shared" si="1"/>
        <v>31</v>
      </c>
      <c r="B45" s="60" t="s">
        <v>52</v>
      </c>
      <c r="C45" s="41">
        <v>1256</v>
      </c>
      <c r="D45" s="46">
        <f t="shared" si="2"/>
        <v>17447.86</v>
      </c>
    </row>
    <row r="46" spans="1:4" ht="12.75">
      <c r="A46" s="40">
        <f t="shared" si="1"/>
        <v>32</v>
      </c>
      <c r="B46" s="60" t="s">
        <v>21</v>
      </c>
      <c r="C46" s="41">
        <v>917</v>
      </c>
      <c r="D46" s="46">
        <f t="shared" si="2"/>
        <v>12738.6</v>
      </c>
    </row>
    <row r="47" spans="1:4" ht="13.5" thickBot="1">
      <c r="A47" s="108"/>
      <c r="B47" s="23" t="s">
        <v>3</v>
      </c>
      <c r="C47" s="20">
        <f>SUM(C15:C46)</f>
        <v>22606</v>
      </c>
      <c r="D47" s="54">
        <f>SUM(D15:D46)</f>
        <v>314033.6499999999</v>
      </c>
    </row>
    <row r="48" spans="1:4" ht="13.5" thickBot="1">
      <c r="A48" s="109"/>
      <c r="B48" s="21" t="s">
        <v>32</v>
      </c>
      <c r="C48" s="22">
        <f>evaluare!C41*0.5*0.5</f>
        <v>314033.65</v>
      </c>
      <c r="D48" s="48"/>
    </row>
    <row r="49" spans="2:4" ht="12.75">
      <c r="B49" s="43"/>
      <c r="C49" s="3"/>
      <c r="D49" s="43"/>
    </row>
    <row r="50" spans="2:4" ht="12.75">
      <c r="B50" s="12" t="s">
        <v>4</v>
      </c>
      <c r="C50" s="3">
        <f>ROUND(C48/C47,2)</f>
        <v>13.89</v>
      </c>
      <c r="D50" s="17"/>
    </row>
    <row r="51" spans="2:4" ht="12.75">
      <c r="B51" s="43"/>
      <c r="C51" s="3"/>
      <c r="D51" s="17"/>
    </row>
  </sheetData>
  <sheetProtection/>
  <mergeCells count="3">
    <mergeCell ref="A9:D9"/>
    <mergeCell ref="C6:D6"/>
    <mergeCell ref="B12:C12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view="pageBreakPreview" zoomScaleSheetLayoutView="100" zoomScalePageLayoutView="0" workbookViewId="0" topLeftCell="A31">
      <selection activeCell="A45" sqref="A45:IV46"/>
    </sheetView>
  </sheetViews>
  <sheetFormatPr defaultColWidth="9.140625" defaultRowHeight="12.75"/>
  <cols>
    <col min="1" max="1" width="3.421875" style="76" customWidth="1"/>
    <col min="2" max="2" width="43.8515625" style="76" customWidth="1"/>
    <col min="3" max="3" width="15.00390625" style="106" customWidth="1"/>
    <col min="4" max="4" width="16.28125" style="124" customWidth="1"/>
    <col min="5" max="5" width="15.28125" style="124" customWidth="1"/>
    <col min="6" max="6" width="16.140625" style="124" customWidth="1"/>
    <col min="7" max="16384" width="9.140625" style="76" customWidth="1"/>
  </cols>
  <sheetData>
    <row r="1" spans="1:6" ht="14.25" customHeight="1">
      <c r="A1" s="74"/>
      <c r="B1" s="75"/>
      <c r="C1" s="103"/>
      <c r="D1" s="75"/>
      <c r="E1" s="80"/>
      <c r="F1" s="81"/>
    </row>
    <row r="2" spans="1:6" ht="24.75" customHeight="1">
      <c r="A2" s="135" t="s">
        <v>65</v>
      </c>
      <c r="B2" s="135"/>
      <c r="C2" s="135"/>
      <c r="D2" s="135"/>
      <c r="E2" s="135"/>
      <c r="F2" s="135"/>
    </row>
    <row r="3" spans="1:6" s="19" customFormat="1" ht="6.75" customHeight="1">
      <c r="A3" s="113"/>
      <c r="B3" s="114"/>
      <c r="C3" s="114"/>
      <c r="D3" s="114"/>
      <c r="E3" s="114"/>
      <c r="F3" s="114"/>
    </row>
    <row r="4" spans="1:6" s="19" customFormat="1" ht="10.5" customHeight="1">
      <c r="A4" s="113"/>
      <c r="B4" s="114"/>
      <c r="C4" s="114"/>
      <c r="D4" s="114"/>
      <c r="E4" s="114"/>
      <c r="F4" s="114"/>
    </row>
    <row r="5" spans="1:6" s="13" customFormat="1" ht="36" customHeight="1" thickBot="1">
      <c r="A5" s="126" t="str">
        <f>evaluare!A4</f>
        <v>30/06/2021</v>
      </c>
      <c r="B5" s="127"/>
      <c r="C5" s="1"/>
      <c r="D5" s="49"/>
      <c r="E5" s="49"/>
      <c r="F5" s="85" t="s">
        <v>39</v>
      </c>
    </row>
    <row r="6" spans="1:6" s="118" customFormat="1" ht="54" customHeight="1" thickBot="1">
      <c r="A6" s="115" t="s">
        <v>0</v>
      </c>
      <c r="B6" s="116" t="s">
        <v>1</v>
      </c>
      <c r="C6" s="117" t="s">
        <v>3</v>
      </c>
      <c r="D6" s="117" t="s">
        <v>26</v>
      </c>
      <c r="E6" s="38" t="s">
        <v>33</v>
      </c>
      <c r="F6" s="62" t="s">
        <v>34</v>
      </c>
    </row>
    <row r="7" spans="1:6" s="110" customFormat="1" ht="25.5" customHeight="1" thickBot="1">
      <c r="A7" s="111">
        <v>0</v>
      </c>
      <c r="B7" s="112">
        <v>1</v>
      </c>
      <c r="C7" s="28">
        <v>2</v>
      </c>
      <c r="D7" s="28">
        <v>3</v>
      </c>
      <c r="E7" s="28">
        <v>4</v>
      </c>
      <c r="F7" s="37">
        <v>5</v>
      </c>
    </row>
    <row r="8" spans="1:6" s="13" customFormat="1" ht="12.75">
      <c r="A8" s="39">
        <v>1</v>
      </c>
      <c r="B8" s="119" t="s">
        <v>14</v>
      </c>
      <c r="C8" s="120">
        <f>SUM(D8:F8)</f>
        <v>40495.4</v>
      </c>
      <c r="D8" s="107">
        <f>evaluare!D7</f>
        <v>18506.36</v>
      </c>
      <c r="E8" s="107">
        <f>cal_ISO!D15</f>
        <v>9556.050000000001</v>
      </c>
      <c r="F8" s="44">
        <f>cal_II!D15</f>
        <v>12432.99</v>
      </c>
    </row>
    <row r="9" spans="1:6" s="14" customFormat="1" ht="12.75">
      <c r="A9" s="92">
        <f>A8+1</f>
        <v>2</v>
      </c>
      <c r="B9" s="9" t="s">
        <v>40</v>
      </c>
      <c r="C9" s="5">
        <f aca="true" t="shared" si="0" ref="C9:C39">SUM(D9:F9)</f>
        <v>87592.85</v>
      </c>
      <c r="D9" s="41">
        <f>evaluare!D8</f>
        <v>25121.44</v>
      </c>
      <c r="E9" s="41">
        <f>cal_ISO!D16</f>
        <v>31576.48</v>
      </c>
      <c r="F9" s="46">
        <f>cal_II!D16</f>
        <v>30894.93</v>
      </c>
    </row>
    <row r="10" spans="1:6" s="14" customFormat="1" ht="12.75">
      <c r="A10" s="92">
        <f aca="true" t="shared" si="1" ref="A10:A39">A9+1</f>
        <v>3</v>
      </c>
      <c r="B10" s="9" t="s">
        <v>41</v>
      </c>
      <c r="C10" s="5">
        <f t="shared" si="0"/>
        <v>29224.15</v>
      </c>
      <c r="D10" s="41">
        <f>evaluare!D9</f>
        <v>15274.98</v>
      </c>
      <c r="E10" s="41">
        <f>cal_ISO!D17</f>
        <v>8448.09</v>
      </c>
      <c r="F10" s="46">
        <f>cal_II!D17</f>
        <v>5501.08</v>
      </c>
    </row>
    <row r="11" spans="1:6" s="14" customFormat="1" ht="12.75">
      <c r="A11" s="92">
        <f t="shared" si="1"/>
        <v>4</v>
      </c>
      <c r="B11" s="9" t="s">
        <v>15</v>
      </c>
      <c r="C11" s="5">
        <f>SUM(D11:F11)</f>
        <v>52824.71000000001</v>
      </c>
      <c r="D11" s="41">
        <f>evaluare!D10</f>
        <v>30379.8</v>
      </c>
      <c r="E11" s="41">
        <f>cal_ISO!D18</f>
        <v>10387</v>
      </c>
      <c r="F11" s="46">
        <f>cal_II!D18</f>
        <v>12057.91</v>
      </c>
    </row>
    <row r="12" spans="1:6" s="14" customFormat="1" ht="12.75">
      <c r="A12" s="92">
        <f t="shared" si="1"/>
        <v>5</v>
      </c>
      <c r="B12" s="9" t="s">
        <v>16</v>
      </c>
      <c r="C12" s="5">
        <f t="shared" si="0"/>
        <v>29899.89</v>
      </c>
      <c r="D12" s="41">
        <f>evaluare!D11</f>
        <v>14575.66</v>
      </c>
      <c r="E12" s="41">
        <f>cal_ISO!D19</f>
        <v>8517.34</v>
      </c>
      <c r="F12" s="46">
        <f>cal_II!D19</f>
        <v>6806.89</v>
      </c>
    </row>
    <row r="13" spans="1:6" s="14" customFormat="1" ht="12.75">
      <c r="A13" s="92">
        <f t="shared" si="1"/>
        <v>6</v>
      </c>
      <c r="B13" s="121" t="s">
        <v>64</v>
      </c>
      <c r="C13" s="5">
        <f>SUM(D13:F13)</f>
        <v>24271.8</v>
      </c>
      <c r="D13" s="41">
        <f>evaluare!D12</f>
        <v>13832.77</v>
      </c>
      <c r="E13" s="41">
        <f>cal_ISO!D20</f>
        <v>6993.91</v>
      </c>
      <c r="F13" s="46">
        <f>cal_II!D20</f>
        <v>3445.12</v>
      </c>
    </row>
    <row r="14" spans="1:6" s="13" customFormat="1" ht="12.75">
      <c r="A14" s="92">
        <f t="shared" si="1"/>
        <v>7</v>
      </c>
      <c r="B14" s="122" t="s">
        <v>56</v>
      </c>
      <c r="C14" s="5">
        <f>SUM(D14:F14)</f>
        <v>55742.51</v>
      </c>
      <c r="D14" s="41">
        <f>evaluare!D13</f>
        <v>32102.15</v>
      </c>
      <c r="E14" s="41">
        <f>cal_ISO!D21</f>
        <v>19250.6</v>
      </c>
      <c r="F14" s="46">
        <f>cal_II!D21</f>
        <v>4389.76</v>
      </c>
    </row>
    <row r="15" spans="1:6" s="14" customFormat="1" ht="12.75">
      <c r="A15" s="92">
        <f t="shared" si="1"/>
        <v>8</v>
      </c>
      <c r="B15" s="9" t="s">
        <v>42</v>
      </c>
      <c r="C15" s="5">
        <f t="shared" si="0"/>
        <v>98907.03999999998</v>
      </c>
      <c r="D15" s="41">
        <f>evaluare!D14</f>
        <v>69699.23999999999</v>
      </c>
      <c r="E15" s="41">
        <f>cal_ISO!D22</f>
        <v>11148.71</v>
      </c>
      <c r="F15" s="46">
        <f>cal_II!D22</f>
        <v>18059.09</v>
      </c>
    </row>
    <row r="16" spans="1:6" s="14" customFormat="1" ht="12.75">
      <c r="A16" s="92">
        <f t="shared" si="1"/>
        <v>9</v>
      </c>
      <c r="B16" s="9" t="s">
        <v>55</v>
      </c>
      <c r="C16" s="5">
        <f t="shared" si="0"/>
        <v>19748.65</v>
      </c>
      <c r="D16" s="41">
        <f>evaluare!D15</f>
        <v>8678.16</v>
      </c>
      <c r="E16" s="41">
        <f>cal_ISO!D23</f>
        <v>4916.51</v>
      </c>
      <c r="F16" s="46">
        <f>cal_II!D23</f>
        <v>6153.98</v>
      </c>
    </row>
    <row r="17" spans="1:6" s="14" customFormat="1" ht="12.75">
      <c r="A17" s="92">
        <f t="shared" si="1"/>
        <v>10</v>
      </c>
      <c r="B17" s="9" t="s">
        <v>43</v>
      </c>
      <c r="C17" s="5">
        <f t="shared" si="0"/>
        <v>25740.28</v>
      </c>
      <c r="D17" s="41">
        <f>evaluare!D16</f>
        <v>7767.19</v>
      </c>
      <c r="E17" s="41">
        <f>cal_ISO!D24</f>
        <v>9971.52</v>
      </c>
      <c r="F17" s="46">
        <f>cal_II!D24</f>
        <v>8001.57</v>
      </c>
    </row>
    <row r="18" spans="1:6" s="14" customFormat="1" ht="12.75">
      <c r="A18" s="92">
        <f t="shared" si="1"/>
        <v>11</v>
      </c>
      <c r="B18" s="9" t="s">
        <v>44</v>
      </c>
      <c r="C18" s="5">
        <f t="shared" si="0"/>
        <v>27370.84</v>
      </c>
      <c r="D18" s="41">
        <f>evaluare!D17</f>
        <v>8533.94</v>
      </c>
      <c r="E18" s="41">
        <f>cal_ISO!D25</f>
        <v>9140.56</v>
      </c>
      <c r="F18" s="46">
        <f>cal_II!D25</f>
        <v>9696.34</v>
      </c>
    </row>
    <row r="19" spans="1:6" s="14" customFormat="1" ht="12.75">
      <c r="A19" s="92">
        <f t="shared" si="1"/>
        <v>12</v>
      </c>
      <c r="B19" s="9" t="s">
        <v>28</v>
      </c>
      <c r="C19" s="5">
        <f>SUM(D19:F19)</f>
        <v>32766.519999999997</v>
      </c>
      <c r="D19" s="41">
        <f>evaluare!D18</f>
        <v>17171.64</v>
      </c>
      <c r="E19" s="41">
        <f>cal_ISO!D26</f>
        <v>10871.73</v>
      </c>
      <c r="F19" s="46">
        <f>cal_II!D26</f>
        <v>4723.15</v>
      </c>
    </row>
    <row r="20" spans="1:6" s="14" customFormat="1" ht="12.75">
      <c r="A20" s="92">
        <f t="shared" si="1"/>
        <v>13</v>
      </c>
      <c r="B20" s="9" t="s">
        <v>17</v>
      </c>
      <c r="C20" s="5">
        <f t="shared" si="0"/>
        <v>40604.729999999996</v>
      </c>
      <c r="D20" s="41">
        <f>evaluare!D19</f>
        <v>13786.29</v>
      </c>
      <c r="E20" s="41">
        <f>cal_ISO!D27</f>
        <v>11148.71</v>
      </c>
      <c r="F20" s="46">
        <f>cal_II!D27</f>
        <v>15669.73</v>
      </c>
    </row>
    <row r="21" spans="1:6" s="14" customFormat="1" ht="12.75">
      <c r="A21" s="92">
        <f t="shared" si="1"/>
        <v>14</v>
      </c>
      <c r="B21" s="9" t="s">
        <v>18</v>
      </c>
      <c r="C21" s="5">
        <f t="shared" si="0"/>
        <v>32512.32</v>
      </c>
      <c r="D21" s="41">
        <f>evaluare!D20</f>
        <v>14534.16</v>
      </c>
      <c r="E21" s="41">
        <f>cal_ISO!D28</f>
        <v>8309.6</v>
      </c>
      <c r="F21" s="46">
        <f>cal_II!D28</f>
        <v>9668.56</v>
      </c>
    </row>
    <row r="22" spans="1:6" s="14" customFormat="1" ht="12.75">
      <c r="A22" s="92">
        <f t="shared" si="1"/>
        <v>15</v>
      </c>
      <c r="B22" s="9" t="s">
        <v>53</v>
      </c>
      <c r="C22" s="5">
        <f t="shared" si="0"/>
        <v>19491.690000000002</v>
      </c>
      <c r="D22" s="41">
        <f>evaluare!D21</f>
        <v>8351.95</v>
      </c>
      <c r="E22" s="41">
        <f>cal_ISO!D29</f>
        <v>4985.76</v>
      </c>
      <c r="F22" s="46">
        <f>cal_II!D29</f>
        <v>6153.98</v>
      </c>
    </row>
    <row r="23" spans="1:6" s="14" customFormat="1" ht="12.75">
      <c r="A23" s="92">
        <f t="shared" si="1"/>
        <v>16</v>
      </c>
      <c r="B23" s="9" t="s">
        <v>45</v>
      </c>
      <c r="C23" s="5">
        <f t="shared" si="0"/>
        <v>25551.5</v>
      </c>
      <c r="D23" s="41">
        <f>evaluare!D22</f>
        <v>10105.85</v>
      </c>
      <c r="E23" s="41">
        <f>cal_ISO!D30</f>
        <v>9694.53</v>
      </c>
      <c r="F23" s="46">
        <f>cal_II!D30</f>
        <v>5751.12</v>
      </c>
    </row>
    <row r="24" spans="1:6" s="14" customFormat="1" ht="12.75">
      <c r="A24" s="92">
        <f t="shared" si="1"/>
        <v>17</v>
      </c>
      <c r="B24" s="9" t="s">
        <v>19</v>
      </c>
      <c r="C24" s="5">
        <f t="shared" si="0"/>
        <v>26352.96</v>
      </c>
      <c r="D24" s="41">
        <f>evaluare!D23</f>
        <v>7561.75</v>
      </c>
      <c r="E24" s="41">
        <f>cal_ISO!D31</f>
        <v>10456.25</v>
      </c>
      <c r="F24" s="46">
        <f>cal_II!D31</f>
        <v>8334.96</v>
      </c>
    </row>
    <row r="25" spans="1:6" s="14" customFormat="1" ht="18" customHeight="1">
      <c r="A25" s="92">
        <f t="shared" si="1"/>
        <v>18</v>
      </c>
      <c r="B25" s="9" t="s">
        <v>62</v>
      </c>
      <c r="C25" s="5">
        <f t="shared" si="0"/>
        <v>33301.6</v>
      </c>
      <c r="D25" s="41">
        <f>evaluare!D24</f>
        <v>14048.58</v>
      </c>
      <c r="E25" s="41">
        <f>cal_ISO!D32</f>
        <v>9348.3</v>
      </c>
      <c r="F25" s="46">
        <f>cal_II!D32</f>
        <v>9904.72</v>
      </c>
    </row>
    <row r="26" spans="1:6" s="13" customFormat="1" ht="12.75">
      <c r="A26" s="92">
        <f t="shared" si="1"/>
        <v>19</v>
      </c>
      <c r="B26" s="9" t="s">
        <v>54</v>
      </c>
      <c r="C26" s="5">
        <f>SUM(D26:F26)</f>
        <v>34755.119999999995</v>
      </c>
      <c r="D26" s="41">
        <f>evaluare!D25</f>
        <v>14139.89</v>
      </c>
      <c r="E26" s="41">
        <f>cal_ISO!D33</f>
        <v>9071.31</v>
      </c>
      <c r="F26" s="46">
        <f>cal_II!D33</f>
        <v>11543.92</v>
      </c>
    </row>
    <row r="27" spans="1:6" s="14" customFormat="1" ht="12.75">
      <c r="A27" s="92">
        <f t="shared" si="1"/>
        <v>20</v>
      </c>
      <c r="B27" s="9" t="s">
        <v>22</v>
      </c>
      <c r="C27" s="5">
        <f t="shared" si="0"/>
        <v>57191.74</v>
      </c>
      <c r="D27" s="41">
        <f>evaluare!D26</f>
        <v>32454.92</v>
      </c>
      <c r="E27" s="41">
        <f>cal_ISO!D34</f>
        <v>10456.25</v>
      </c>
      <c r="F27" s="46">
        <f>cal_II!D34</f>
        <v>14280.57</v>
      </c>
    </row>
    <row r="28" spans="1:6" s="13" customFormat="1" ht="12.75">
      <c r="A28" s="92">
        <f t="shared" si="1"/>
        <v>21</v>
      </c>
      <c r="B28" s="9" t="s">
        <v>35</v>
      </c>
      <c r="C28" s="5">
        <f t="shared" si="0"/>
        <v>31635.27</v>
      </c>
      <c r="D28" s="41">
        <f>evaluare!D27</f>
        <v>15816.59</v>
      </c>
      <c r="E28" s="41">
        <f>cal_ISO!D35</f>
        <v>5816.72</v>
      </c>
      <c r="F28" s="46">
        <f>cal_II!D35</f>
        <v>10001.96</v>
      </c>
    </row>
    <row r="29" spans="1:6" s="13" customFormat="1" ht="12.75">
      <c r="A29" s="92">
        <f t="shared" si="1"/>
        <v>22</v>
      </c>
      <c r="B29" s="9" t="s">
        <v>46</v>
      </c>
      <c r="C29" s="5">
        <f t="shared" si="0"/>
        <v>28245.67</v>
      </c>
      <c r="D29" s="41">
        <f>evaluare!D28</f>
        <v>15419.82</v>
      </c>
      <c r="E29" s="41">
        <f>cal_ISO!D36</f>
        <v>7824.87</v>
      </c>
      <c r="F29" s="46">
        <f>cal_II!D36</f>
        <v>5000.98</v>
      </c>
    </row>
    <row r="30" spans="1:6" s="13" customFormat="1" ht="12.75">
      <c r="A30" s="92">
        <f t="shared" si="1"/>
        <v>23</v>
      </c>
      <c r="B30" s="9" t="s">
        <v>47</v>
      </c>
      <c r="C30" s="5">
        <f t="shared" si="0"/>
        <v>23036.88</v>
      </c>
      <c r="D30" s="41">
        <f>evaluare!D29</f>
        <v>13675.06</v>
      </c>
      <c r="E30" s="41">
        <f>cal_ISO!D37</f>
        <v>4916.51</v>
      </c>
      <c r="F30" s="46">
        <f>cal_II!D37</f>
        <v>4445.31</v>
      </c>
    </row>
    <row r="31" spans="1:6" s="13" customFormat="1" ht="12.75">
      <c r="A31" s="92">
        <f t="shared" si="1"/>
        <v>24</v>
      </c>
      <c r="B31" s="8" t="s">
        <v>63</v>
      </c>
      <c r="C31" s="5">
        <f>SUM(D31:F31)</f>
        <v>17263.059999999998</v>
      </c>
      <c r="D31" s="41">
        <f>evaluare!D30</f>
        <v>7738.76</v>
      </c>
      <c r="E31" s="41">
        <f>cal_ISO!D38</f>
        <v>6301.45</v>
      </c>
      <c r="F31" s="46">
        <f>cal_II!D38</f>
        <v>3222.85</v>
      </c>
    </row>
    <row r="32" spans="1:6" s="13" customFormat="1" ht="24" customHeight="1">
      <c r="A32" s="92">
        <f t="shared" si="1"/>
        <v>25</v>
      </c>
      <c r="B32" s="9" t="s">
        <v>48</v>
      </c>
      <c r="C32" s="5">
        <f t="shared" si="0"/>
        <v>34370.93</v>
      </c>
      <c r="D32" s="41">
        <f>evaluare!D31</f>
        <v>21463</v>
      </c>
      <c r="E32" s="41">
        <f>cal_ISO!D39</f>
        <v>8240.35</v>
      </c>
      <c r="F32" s="46">
        <f>cal_II!D39</f>
        <v>4667.58</v>
      </c>
    </row>
    <row r="33" spans="1:6" s="14" customFormat="1" ht="24" customHeight="1">
      <c r="A33" s="92">
        <f t="shared" si="1"/>
        <v>26</v>
      </c>
      <c r="B33" s="9" t="s">
        <v>49</v>
      </c>
      <c r="C33" s="5">
        <f t="shared" si="0"/>
        <v>76301.23</v>
      </c>
      <c r="D33" s="41">
        <f>evaluare!D32</f>
        <v>50732.61</v>
      </c>
      <c r="E33" s="41">
        <f>cal_ISO!D40</f>
        <v>11010.22</v>
      </c>
      <c r="F33" s="46">
        <f>cal_II!D40</f>
        <v>14558.4</v>
      </c>
    </row>
    <row r="34" spans="1:6" s="14" customFormat="1" ht="12.75">
      <c r="A34" s="92">
        <f t="shared" si="1"/>
        <v>27</v>
      </c>
      <c r="B34" s="9" t="s">
        <v>50</v>
      </c>
      <c r="C34" s="5">
        <f t="shared" si="0"/>
        <v>21567.44</v>
      </c>
      <c r="D34" s="41">
        <f>evaluare!D33</f>
        <v>12857.46</v>
      </c>
      <c r="E34" s="41">
        <f>cal_ISO!D41</f>
        <v>4570.28</v>
      </c>
      <c r="F34" s="46">
        <f>cal_II!D41</f>
        <v>4139.7</v>
      </c>
    </row>
    <row r="35" spans="1:6" s="14" customFormat="1" ht="12.75">
      <c r="A35" s="92">
        <f t="shared" si="1"/>
        <v>28</v>
      </c>
      <c r="B35" s="9" t="s">
        <v>23</v>
      </c>
      <c r="C35" s="5">
        <f t="shared" si="0"/>
        <v>35951.04</v>
      </c>
      <c r="D35" s="41">
        <f>evaluare!D34</f>
        <v>17644.56</v>
      </c>
      <c r="E35" s="41">
        <f>cal_ISO!D42</f>
        <v>9971.52</v>
      </c>
      <c r="F35" s="46">
        <f>cal_II!D42</f>
        <v>8334.96</v>
      </c>
    </row>
    <row r="36" spans="1:6" s="13" customFormat="1" ht="12.75">
      <c r="A36" s="92">
        <f t="shared" si="1"/>
        <v>29</v>
      </c>
      <c r="B36" s="9" t="s">
        <v>20</v>
      </c>
      <c r="C36" s="5">
        <f>SUM(D36:F36)</f>
        <v>48624</v>
      </c>
      <c r="D36" s="41">
        <f>evaluare!D35</f>
        <v>25666.16</v>
      </c>
      <c r="E36" s="41">
        <f>cal_ISO!D43</f>
        <v>10733.23</v>
      </c>
      <c r="F36" s="46">
        <f>cal_II!D43</f>
        <v>12224.61</v>
      </c>
    </row>
    <row r="37" spans="1:6" s="14" customFormat="1" ht="12.75">
      <c r="A37" s="92">
        <f t="shared" si="1"/>
        <v>30</v>
      </c>
      <c r="B37" s="9" t="s">
        <v>51</v>
      </c>
      <c r="C37" s="5">
        <f t="shared" si="0"/>
        <v>35675.49</v>
      </c>
      <c r="D37" s="41">
        <f>evaluare!D36</f>
        <v>12892.95</v>
      </c>
      <c r="E37" s="41">
        <f>cal_ISO!D44</f>
        <v>9002.07</v>
      </c>
      <c r="F37" s="46">
        <f>cal_II!D44</f>
        <v>13780.47</v>
      </c>
    </row>
    <row r="38" spans="1:6" s="14" customFormat="1" ht="12.75">
      <c r="A38" s="92">
        <f t="shared" si="1"/>
        <v>31</v>
      </c>
      <c r="B38" s="8" t="s">
        <v>52</v>
      </c>
      <c r="C38" s="5">
        <f t="shared" si="0"/>
        <v>60247.490000000005</v>
      </c>
      <c r="D38" s="41">
        <f>evaluare!D37</f>
        <v>31997.15</v>
      </c>
      <c r="E38" s="41">
        <f>cal_ISO!D45</f>
        <v>10802.48</v>
      </c>
      <c r="F38" s="46">
        <f>cal_II!D45</f>
        <v>17447.86</v>
      </c>
    </row>
    <row r="39" spans="1:6" s="13" customFormat="1" ht="13.5" thickBot="1">
      <c r="A39" s="92">
        <f t="shared" si="1"/>
        <v>32</v>
      </c>
      <c r="B39" s="8" t="s">
        <v>21</v>
      </c>
      <c r="C39" s="5">
        <f t="shared" si="0"/>
        <v>48869.799999999996</v>
      </c>
      <c r="D39" s="41">
        <f>evaluare!D38</f>
        <v>25536.46</v>
      </c>
      <c r="E39" s="41">
        <f>cal_ISO!D46</f>
        <v>10594.74</v>
      </c>
      <c r="F39" s="46">
        <f>cal_II!D46</f>
        <v>12738.6</v>
      </c>
    </row>
    <row r="40" spans="1:6" s="1" customFormat="1" ht="15" customHeight="1" thickBot="1">
      <c r="A40" s="123"/>
      <c r="B40" s="21" t="s">
        <v>3</v>
      </c>
      <c r="C40" s="22">
        <f>SUM(C8:C39)</f>
        <v>1256134.5999999999</v>
      </c>
      <c r="D40" s="22">
        <f>SUM(D8:D39)</f>
        <v>628067.3</v>
      </c>
      <c r="E40" s="22">
        <f>SUM(E8:E39)</f>
        <v>314033.65</v>
      </c>
      <c r="F40" s="48">
        <f>SUM(F8:F39)</f>
        <v>314033.6499999999</v>
      </c>
    </row>
    <row r="41" spans="3:6" s="13" customFormat="1" ht="12.75" hidden="1">
      <c r="C41" s="4" t="e">
        <f>#REF!/0.76</f>
        <v>#REF!</v>
      </c>
      <c r="D41" s="49" t="e">
        <f>#REF!/$C41</f>
        <v>#REF!</v>
      </c>
      <c r="E41" s="49" t="e">
        <f>#REF!/$C41</f>
        <v>#REF!</v>
      </c>
      <c r="F41" s="49" t="e">
        <f>#REF!/$C41</f>
        <v>#REF!</v>
      </c>
    </row>
    <row r="42" spans="3:6" s="13" customFormat="1" ht="12.75">
      <c r="C42" s="4"/>
      <c r="D42" s="49"/>
      <c r="E42" s="49"/>
      <c r="F42" s="49"/>
    </row>
    <row r="43" spans="2:6" s="1" customFormat="1" ht="12.75">
      <c r="B43" s="1" t="s">
        <v>13</v>
      </c>
      <c r="C43" s="4"/>
      <c r="D43" s="4">
        <f>evaluare!C43</f>
        <v>20.75</v>
      </c>
      <c r="E43" s="4">
        <f>cal_ISO!C50</f>
        <v>69.25</v>
      </c>
      <c r="F43" s="4">
        <f>cal_II!C50</f>
        <v>13.89</v>
      </c>
    </row>
    <row r="44" spans="3:6" s="13" customFormat="1" ht="12.75">
      <c r="C44" s="4"/>
      <c r="D44" s="49"/>
      <c r="E44" s="49"/>
      <c r="F44" s="49"/>
    </row>
  </sheetData>
  <sheetProtection/>
  <mergeCells count="2">
    <mergeCell ref="A5:B5"/>
    <mergeCell ref="A2:F2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2021-06-30T07:35:10Z</cp:lastPrinted>
  <dcterms:created xsi:type="dcterms:W3CDTF">2003-02-20T14:27:52Z</dcterms:created>
  <dcterms:modified xsi:type="dcterms:W3CDTF">2021-07-01T11:16:10Z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