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'cal_II'!$A$1:$E$42</definedName>
    <definedName name="_xlnm.Print_Area" localSheetId="1">'cal_ISO'!$A$1:$E$42</definedName>
    <definedName name="_xlnm.Print_Area" localSheetId="0">'evaluare'!$A$1:$D$43</definedName>
    <definedName name="_xlnm.Print_Area" localSheetId="3">'TOTAL'!$A$1:$F$42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<sst xmlns="http://schemas.openxmlformats.org/spreadsheetml/2006/main" count="177" uniqueCount="65">
  <si>
    <t>Nr.crt.</t>
  </si>
  <si>
    <t>FURNIZOR</t>
  </si>
  <si>
    <t>Fond alocat 1</t>
  </si>
  <si>
    <t>TOTAL</t>
  </si>
  <si>
    <t>VAL.PUNCT=</t>
  </si>
  <si>
    <t>FOND TOTAL ALOCAT LABORATOARE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</si>
  <si>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</si>
  <si>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</si>
  <si>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</si>
  <si>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</si>
  <si>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</si>
  <si>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</si>
  <si>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</si>
  <si>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</si>
  <si>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</si>
  <si>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</si>
  <si>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</si>
  <si>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</si>
  <si>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</si>
  <si>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</si>
  <si>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</si>
  <si>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</si>
  <si>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</si>
  <si>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</si>
  <si>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</si>
  <si>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</si>
  <si>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</si>
  <si>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</si>
  <si>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</si>
  <si>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</si>
  <si>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</si>
  <si>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</si>
  <si>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</si>
  <si>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</si>
  <si>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</si>
  <si>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</si>
  <si>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</si>
  <si>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</si>
  <si>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</si>
  <si>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</si>
  <si>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</si>
  <si>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</si>
  <si>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</si>
  <si>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</si>
  <si>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</si>
  <si>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</si>
  <si>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</si>
  <si>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</si>
  <si>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</si>
  <si>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</si>
  <si>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</si>
  <si>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</si>
  <si>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DIF.2017 FATA DE 2017</t>
  </si>
  <si>
    <t>AN 2017</t>
  </si>
  <si>
    <t>Observatii</t>
  </si>
  <si>
    <t>(+18 pct - v. Referat Ev.Contractare 180/18.09.2018)</t>
  </si>
  <si>
    <t>puncte 2019</t>
  </si>
  <si>
    <t>BIODEV MEDICAL CENTER SRL - 2 pct.de lucru</t>
  </si>
  <si>
    <t>RECUMEDIS (fost  RED CLINIC )</t>
  </si>
  <si>
    <t>SPITALUL CLINIC DE RECUPERARE</t>
  </si>
  <si>
    <t>-24. (v. Contract anat.pat.)</t>
  </si>
  <si>
    <t>INSTITUTUL DE PSIHIATRIE SOCOLA</t>
  </si>
  <si>
    <t xml:space="preserve"> +398 p.(v.ref. Ev.Contr.26.02.2021)</t>
  </si>
  <si>
    <t>29/04/2021</t>
  </si>
  <si>
    <t xml:space="preserve"> TOTAL CRITERII DE SELECTIE  - SERVICII PARACLINICE DE LABORATOR - IUNIE 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</si>
</sst>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36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1" fontId="7" fillId="0" borderId="0" xfId="57" applyNumberFormat="1" applyFont="1" applyFill="1" applyBorder="1" applyAlignment="1">
      <alignment horizontal="center" vertical="center" wrapText="1"/>
      <protection/>
    </xf>
    <xf numFmtId="1" fontId="1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0" fontId="9" fillId="24" borderId="0" xfId="57" applyFont="1" applyFill="1" applyAlignment="1">
      <alignment vertical="center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3" fontId="7" fillId="0" borderId="15" xfId="57" applyNumberFormat="1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vertical="center" wrapText="1"/>
      <protection/>
    </xf>
    <xf numFmtId="0" fontId="1" fillId="0" borderId="18" xfId="57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 wrapText="1"/>
      <protection/>
    </xf>
    <xf numFmtId="3" fontId="1" fillId="0" borderId="15" xfId="57" applyNumberFormat="1" applyFont="1" applyFill="1" applyBorder="1" applyAlignment="1">
      <alignment horizontal="center" vertical="center"/>
      <protection/>
    </xf>
    <xf numFmtId="1" fontId="7" fillId="0" borderId="19" xfId="57" applyNumberFormat="1" applyFont="1" applyFill="1" applyBorder="1" applyAlignment="1">
      <alignment horizontal="center" vertical="center" wrapText="1"/>
      <protection/>
    </xf>
    <xf numFmtId="4" fontId="1" fillId="0" borderId="18" xfId="57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1" fillId="0" borderId="22" xfId="57" applyNumberFormat="1" applyFont="1" applyFill="1" applyBorder="1" applyAlignment="1">
      <alignment vertical="center"/>
      <protection/>
    </xf>
    <xf numFmtId="4" fontId="0" fillId="0" borderId="22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4" fontId="1" fillId="0" borderId="19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1" fontId="1" fillId="0" borderId="19" xfId="57" applyNumberFormat="1" applyFont="1" applyFill="1" applyBorder="1" applyAlignment="1">
      <alignment horizontal="center" vertical="center" wrapText="1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9" fontId="1" fillId="0" borderId="27" xfId="57" applyNumberFormat="1" applyFont="1" applyFill="1" applyBorder="1" applyAlignment="1">
      <alignment vertical="center"/>
      <protection/>
    </xf>
    <xf numFmtId="40" fontId="0" fillId="0" borderId="0" xfId="57" applyNumberFormat="1" applyFont="1" applyFill="1" applyBorder="1" applyAlignment="1">
      <alignment vertical="center"/>
      <protection/>
    </xf>
    <xf numFmtId="4" fontId="0" fillId="0" borderId="28" xfId="57" applyNumberFormat="1" applyFont="1" applyFill="1" applyBorder="1" applyAlignment="1">
      <alignment horizontal="right" vertical="center"/>
      <protection/>
    </xf>
    <xf numFmtId="4" fontId="31" fillId="0" borderId="1" xfId="57" applyNumberFormat="1" applyFont="1" applyFill="1" applyBorder="1" applyAlignment="1">
      <alignment vertical="center"/>
      <protection/>
    </xf>
    <xf numFmtId="4" fontId="31" fillId="0" borderId="29" xfId="57" applyNumberFormat="1" applyFont="1" applyFill="1" applyBorder="1" applyAlignment="1">
      <alignment vertical="center"/>
      <protection/>
    </xf>
    <xf numFmtId="0" fontId="10" fillId="24" borderId="29" xfId="0" applyNumberFormat="1" applyFont="1" applyFill="1" applyBorder="1" applyAlignment="1">
      <alignment vertical="center" wrapText="1"/>
    </xf>
    <xf numFmtId="0" fontId="10" fillId="24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2" fontId="10" fillId="24" borderId="1" xfId="59" applyNumberFormat="1" applyFont="1" applyFill="1" applyBorder="1" applyAlignment="1">
      <alignment vertical="center" wrapText="1"/>
      <protection/>
    </xf>
    <xf numFmtId="49" fontId="10" fillId="0" borderId="30" xfId="57" applyNumberFormat="1" applyFont="1" applyFill="1" applyBorder="1" applyAlignment="1">
      <alignment vertical="center"/>
      <protection/>
    </xf>
    <xf numFmtId="49" fontId="10" fillId="0" borderId="31" xfId="57" applyNumberFormat="1" applyFont="1" applyFill="1" applyBorder="1" applyAlignment="1">
      <alignment vertical="center" wrapText="1"/>
      <protection/>
    </xf>
    <xf numFmtId="4" fontId="1" fillId="0" borderId="24" xfId="57" applyNumberFormat="1" applyFont="1" applyFill="1" applyBorder="1" applyAlignment="1">
      <alignment horizontal="center" vertical="center" wrapText="1"/>
      <protection/>
    </xf>
    <xf numFmtId="1" fontId="1" fillId="0" borderId="19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0" borderId="33" xfId="57" applyNumberFormat="1" applyFont="1" applyFill="1" applyBorder="1" applyAlignment="1">
      <alignment vertical="center"/>
      <protection/>
    </xf>
    <xf numFmtId="4" fontId="0" fillId="24" borderId="33" xfId="57" applyNumberFormat="1" applyFont="1" applyFill="1" applyBorder="1" applyAlignment="1">
      <alignment vertical="center" wrapText="1"/>
      <protection/>
    </xf>
    <xf numFmtId="4" fontId="1" fillId="0" borderId="33" xfId="57" applyNumberFormat="1" applyFont="1" applyFill="1" applyBorder="1" applyAlignment="1">
      <alignment vertical="center"/>
      <protection/>
    </xf>
    <xf numFmtId="4" fontId="1" fillId="0" borderId="34" xfId="57" applyNumberFormat="1" applyFont="1" applyFill="1" applyBorder="1" applyAlignment="1">
      <alignment vertical="center"/>
      <protection/>
    </xf>
    <xf numFmtId="4" fontId="1" fillId="0" borderId="35" xfId="57" applyNumberFormat="1" applyFont="1" applyFill="1" applyBorder="1" applyAlignment="1">
      <alignment horizontal="center" vertical="center"/>
      <protection/>
    </xf>
    <xf numFmtId="1" fontId="1" fillId="0" borderId="35" xfId="57" applyNumberFormat="1" applyFont="1" applyFill="1" applyBorder="1" applyAlignment="1">
      <alignment horizontal="center" vertical="center" wrapText="1"/>
      <protection/>
    </xf>
    <xf numFmtId="4" fontId="0" fillId="0" borderId="30" xfId="57" applyNumberFormat="1" applyFont="1" applyFill="1" applyBorder="1" applyAlignment="1">
      <alignment vertical="center"/>
      <protection/>
    </xf>
    <xf numFmtId="4" fontId="0" fillId="0" borderId="31" xfId="57" applyNumberFormat="1" applyFont="1" applyFill="1" applyBorder="1" applyAlignment="1">
      <alignment vertical="center"/>
      <protection/>
    </xf>
    <xf numFmtId="4" fontId="1" fillId="0" borderId="27" xfId="57" applyNumberFormat="1" applyFont="1" applyFill="1" applyBorder="1" applyAlignment="1">
      <alignment vertical="center"/>
      <protection/>
    </xf>
    <xf numFmtId="49" fontId="10" fillId="0" borderId="31" xfId="57" applyNumberFormat="1" applyFont="1" applyFill="1" applyBorder="1" applyAlignment="1">
      <alignment vertical="center"/>
      <protection/>
    </xf>
    <xf numFmtId="0" fontId="12" fillId="0" borderId="0" xfId="57" applyFont="1" applyFill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2" fontId="13" fillId="0" borderId="0" xfId="57" applyNumberFormat="1" applyFont="1" applyFill="1" applyAlignment="1">
      <alignment vertical="center"/>
      <protection/>
    </xf>
    <xf numFmtId="4" fontId="13" fillId="0" borderId="0" xfId="57" applyNumberFormat="1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0" fontId="13" fillId="0" borderId="0" xfId="0" applyNumberFormat="1" applyFont="1" applyFill="1" applyBorder="1" applyAlignment="1">
      <alignment horizontal="right" vertical="center"/>
    </xf>
    <xf numFmtId="0" fontId="1" fillId="0" borderId="18" xfId="57" applyFont="1" applyFill="1" applyBorder="1" applyAlignment="1">
      <alignment horizontal="center" vertical="center"/>
      <protection/>
    </xf>
    <xf numFmtId="4" fontId="1" fillId="0" borderId="24" xfId="57" applyNumberFormat="1" applyFont="1" applyFill="1" applyBorder="1" applyAlignment="1">
      <alignment horizontal="center" vertical="center"/>
      <protection/>
    </xf>
    <xf numFmtId="0" fontId="0" fillId="24" borderId="20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10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3" fontId="1" fillId="0" borderId="23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3" fillId="0" borderId="0" xfId="57" applyFont="1" applyFill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0" fontId="12" fillId="0" borderId="0" xfId="0" applyNumberFormat="1" applyFont="1" applyBorder="1" applyAlignment="1">
      <alignment horizontal="center" vertical="center" wrapText="1"/>
    </xf>
    <xf numFmtId="4" fontId="0" fillId="0" borderId="29" xfId="57" applyNumberFormat="1" applyFont="1" applyFill="1" applyBorder="1" applyAlignment="1">
      <alignment vertical="center"/>
      <protection/>
    </xf>
    <xf numFmtId="0" fontId="0" fillId="0" borderId="36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5" xfId="58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9" xfId="0" applyNumberFormat="1" applyFont="1" applyFill="1" applyBorder="1" applyAlignment="1">
      <alignment vertical="center" wrapText="1"/>
    </xf>
    <xf numFmtId="4" fontId="1" fillId="0" borderId="29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1" fillId="0" borderId="17" xfId="57" applyFont="1" applyFill="1" applyBorder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4" fontId="1" fillId="0" borderId="30" xfId="57" applyNumberFormat="1" applyFont="1" applyFill="1" applyBorder="1" applyAlignment="1">
      <alignment horizontal="center"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7" xfId="57" applyNumberFormat="1" applyFont="1" applyFill="1" applyBorder="1" applyAlignment="1">
      <alignment horizontal="center" vertical="center"/>
      <protection/>
    </xf>
    <xf numFmtId="4" fontId="1" fillId="0" borderId="38" xfId="57" applyNumberFormat="1" applyFont="1" applyFill="1" applyBorder="1" applyAlignment="1">
      <alignment horizontal="center" vertical="center"/>
      <protection/>
    </xf>
    <xf numFmtId="4" fontId="1" fillId="0" borderId="39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:IV9"/>
    </sheetView>
  </sheetViews>
  <sheetFormatPr defaultColWidth="9.140625" defaultRowHeight="12.75"/>
  <cols>
    <col min="1" max="1" width="3.7109375" style="13" customWidth="1"/>
    <col min="2" max="2" width="54.00390625" style="102" customWidth="1"/>
    <col min="3" max="3" width="20.8515625" style="103" customWidth="1"/>
    <col min="4" max="4" width="20.8515625" style="51" customWidth="1"/>
    <col min="5" max="16384" width="9.140625" style="13" customWidth="1"/>
  </cols>
  <sheetData>
    <row r="1" spans="1:4" s="82" customFormat="1" ht="14.25" customHeight="1">
      <c r="A1" s="128" t="s">
        <v>24</v>
      </c>
      <c r="B1" s="128"/>
      <c r="C1" s="128"/>
      <c r="D1" s="128"/>
    </row>
    <row r="2" spans="2:4" s="21" customFormat="1" ht="15">
      <c r="B2" s="85"/>
      <c r="C2" s="86"/>
      <c r="D2" s="87"/>
    </row>
    <row r="3" spans="2:4" s="21" customFormat="1" ht="15">
      <c r="B3" s="85"/>
      <c r="C3" s="86"/>
      <c r="D3" s="88" t="s">
        <v>6</v>
      </c>
    </row>
    <row r="4" spans="1:3" s="21" customFormat="1" ht="36" customHeight="1" thickBot="1">
      <c r="A4" s="126" t="s">
        <v>63</v>
      </c>
      <c r="B4" s="127"/>
      <c r="C4" s="86"/>
    </row>
    <row r="5" spans="1:4" s="45" customFormat="1" ht="27" thickBot="1">
      <c r="A5" s="28" t="s">
        <v>0</v>
      </c>
      <c r="B5" s="89" t="s">
        <v>1</v>
      </c>
      <c r="C5" s="40" t="s">
        <v>56</v>
      </c>
      <c r="D5" s="90" t="s">
        <v>2</v>
      </c>
    </row>
    <row r="6" spans="1:4" s="18" customFormat="1" ht="21" thickBot="1">
      <c r="A6" s="29">
        <v>0</v>
      </c>
      <c r="B6" s="30">
        <v>1</v>
      </c>
      <c r="C6" s="31">
        <v>2</v>
      </c>
      <c r="D6" s="39" t="s">
        <v>9</v>
      </c>
    </row>
    <row r="7" spans="1:11" s="92" customFormat="1" ht="18" customHeight="1">
      <c r="A7" s="91">
        <v>1</v>
      </c>
      <c r="B7" s="63" t="s">
        <v>11</v>
      </c>
      <c r="C7" s="62">
        <f>859.32+25.2+4.8+30-12.5-15</f>
        <v>891.82</v>
      </c>
      <c r="D7" s="60">
        <f>ROUND(C7/C$39*C$40,2)+0.02</f>
        <v>18609.21</v>
      </c>
      <c r="E7" s="44"/>
      <c r="F7" s="44"/>
      <c r="G7" s="44"/>
      <c r="H7" s="44"/>
      <c r="I7" s="44"/>
      <c r="J7" s="44"/>
      <c r="K7" s="44"/>
    </row>
    <row r="8" spans="1:11" s="92" customFormat="1" ht="18" customHeight="1">
      <c r="A8" s="93">
        <f>A7+1</f>
        <v>2</v>
      </c>
      <c r="B8" s="64" t="s">
        <v>57</v>
      </c>
      <c r="C8" s="43">
        <v>1210.6</v>
      </c>
      <c r="D8" s="46">
        <f>ROUND(C8/C$39*C$40,2)</f>
        <v>25261.02</v>
      </c>
      <c r="E8" s="44"/>
      <c r="F8" s="44"/>
      <c r="G8" s="44"/>
      <c r="H8" s="44"/>
      <c r="I8" s="44"/>
      <c r="J8" s="44"/>
      <c r="K8" s="44"/>
    </row>
    <row r="9" spans="1:11" s="92" customFormat="1" ht="18" customHeight="1">
      <c r="A9" s="93">
        <f aca="true" t="shared" si="0" ref="A9:A38">A8+1</f>
        <v>3</v>
      </c>
      <c r="B9" s="64" t="s">
        <v>36</v>
      </c>
      <c r="C9" s="43">
        <v>736.1</v>
      </c>
      <c r="D9" s="48">
        <f>ROUND(C9/C$39*C$40,2)</f>
        <v>15359.85</v>
      </c>
      <c r="E9" s="44"/>
      <c r="F9" s="44"/>
      <c r="G9" s="44"/>
      <c r="H9" s="44"/>
      <c r="I9" s="44"/>
      <c r="J9" s="44"/>
      <c r="K9" s="44"/>
    </row>
    <row r="10" spans="1:11" s="14" customFormat="1" ht="63" customHeight="1">
      <c r="A10" s="93">
        <f t="shared" si="0"/>
        <v>4</v>
      </c>
      <c r="B10" s="65" t="s">
        <v>12</v>
      </c>
      <c r="C10" s="43">
        <f>1392+57-40+40+15-8+8</f>
        <v>1464</v>
      </c>
      <c r="D10" s="48">
        <f>ROUND(C10/C$39*C$40,2)</f>
        <v>30548.6</v>
      </c>
      <c r="E10" s="53"/>
      <c r="F10" s="53"/>
      <c r="G10" s="53"/>
      <c r="H10" s="53"/>
      <c r="I10" s="53"/>
      <c r="J10" s="53"/>
      <c r="K10" s="53"/>
    </row>
    <row r="11" spans="1:11" s="92" customFormat="1" ht="18" customHeight="1">
      <c r="A11" s="93">
        <f t="shared" si="0"/>
        <v>5</v>
      </c>
      <c r="B11" s="64" t="s">
        <v>13</v>
      </c>
      <c r="C11" s="43">
        <f>509.4+20</f>
        <v>529.4</v>
      </c>
      <c r="D11" s="48">
        <f>ROUND(C11/C$39*C$40,2)</f>
        <v>11046.74</v>
      </c>
      <c r="E11" s="44"/>
      <c r="F11" s="44"/>
      <c r="G11" s="44"/>
      <c r="H11" s="44"/>
      <c r="I11" s="44"/>
      <c r="J11" s="44"/>
      <c r="K11" s="44"/>
    </row>
    <row r="12" spans="1:11" s="92" customFormat="1" ht="18" customHeight="1">
      <c r="A12" s="93">
        <f t="shared" si="0"/>
        <v>6</v>
      </c>
      <c r="B12" s="94" t="s">
        <v>61</v>
      </c>
      <c r="C12" s="43">
        <f>666.6</f>
        <v>666.6</v>
      </c>
      <c r="D12" s="48">
        <f>ROUND(C12/C$39*C$40,2)</f>
        <v>13909.63</v>
      </c>
      <c r="E12" s="44"/>
      <c r="F12" s="44"/>
      <c r="G12" s="44"/>
      <c r="H12" s="44"/>
      <c r="I12" s="44"/>
      <c r="J12" s="44"/>
      <c r="K12" s="44"/>
    </row>
    <row r="13" spans="1:11" s="14" customFormat="1" ht="18" customHeight="1">
      <c r="A13" s="93">
        <f t="shared" si="0"/>
        <v>7</v>
      </c>
      <c r="B13" s="66" t="s">
        <v>51</v>
      </c>
      <c r="C13" s="43">
        <v>1547</v>
      </c>
      <c r="D13" s="48">
        <f>ROUND(C13/C$39*C$40,2)+0.02</f>
        <v>32280.55</v>
      </c>
      <c r="E13" s="53"/>
      <c r="F13" s="53"/>
      <c r="G13" s="53"/>
      <c r="H13" s="53"/>
      <c r="I13" s="53"/>
      <c r="J13" s="53"/>
      <c r="K13" s="53"/>
    </row>
    <row r="14" spans="1:11" s="92" customFormat="1" ht="42.75" customHeight="1">
      <c r="A14" s="93">
        <f t="shared" si="0"/>
        <v>8</v>
      </c>
      <c r="B14" s="64" t="s">
        <v>37</v>
      </c>
      <c r="C14" s="43">
        <f>3330.8+34-40-15+24-40+30+20+15-4+8</f>
        <v>3362.8</v>
      </c>
      <c r="D14" s="48">
        <f>ROUND(C14/C$39*C$40,2)</f>
        <v>70169.97</v>
      </c>
      <c r="E14" s="44"/>
      <c r="F14" s="44"/>
      <c r="G14" s="44"/>
      <c r="H14" s="44"/>
      <c r="I14" s="44"/>
      <c r="J14" s="44"/>
      <c r="K14" s="44"/>
    </row>
    <row r="15" spans="1:11" s="14" customFormat="1" ht="18" customHeight="1">
      <c r="A15" s="93">
        <f t="shared" si="0"/>
        <v>9</v>
      </c>
      <c r="B15" s="64" t="s">
        <v>50</v>
      </c>
      <c r="C15" s="43">
        <f>428.2-10</f>
        <v>418.2</v>
      </c>
      <c r="D15" s="48">
        <f aca="true" t="shared" si="1" ref="D15:D38">ROUND(C15/C$39*C$40,2)</f>
        <v>8726.38</v>
      </c>
      <c r="E15" s="53"/>
      <c r="F15" s="53"/>
      <c r="G15" s="53"/>
      <c r="H15" s="53"/>
      <c r="I15" s="53"/>
      <c r="J15" s="53"/>
      <c r="K15" s="53"/>
    </row>
    <row r="16" spans="1:11" s="92" customFormat="1" ht="18" customHeight="1">
      <c r="A16" s="93">
        <f t="shared" si="0"/>
        <v>10</v>
      </c>
      <c r="B16" s="64" t="s">
        <v>38</v>
      </c>
      <c r="C16" s="43">
        <v>374.3</v>
      </c>
      <c r="D16" s="48">
        <f t="shared" si="1"/>
        <v>7810.34</v>
      </c>
      <c r="E16" s="44"/>
      <c r="F16" s="44"/>
      <c r="G16" s="44"/>
      <c r="H16" s="44"/>
      <c r="I16" s="44"/>
      <c r="J16" s="44"/>
      <c r="K16" s="44"/>
    </row>
    <row r="17" spans="1:11" s="92" customFormat="1" ht="18" customHeight="1">
      <c r="A17" s="93">
        <f t="shared" si="0"/>
        <v>11</v>
      </c>
      <c r="B17" s="64" t="s">
        <v>39</v>
      </c>
      <c r="C17" s="43">
        <f>370.25+41</f>
        <v>411.25</v>
      </c>
      <c r="D17" s="48">
        <f t="shared" si="1"/>
        <v>8581.36</v>
      </c>
      <c r="E17" s="44"/>
      <c r="F17" s="44"/>
      <c r="G17" s="44"/>
      <c r="H17" s="44"/>
      <c r="I17" s="44"/>
      <c r="J17" s="44"/>
      <c r="K17" s="44"/>
    </row>
    <row r="18" spans="1:11" s="92" customFormat="1" ht="18" customHeight="1">
      <c r="A18" s="93">
        <f t="shared" si="0"/>
        <v>12</v>
      </c>
      <c r="B18" s="64" t="s">
        <v>23</v>
      </c>
      <c r="C18" s="43">
        <f>847.5-30-45+40+40-25-15+15</f>
        <v>827.5</v>
      </c>
      <c r="D18" s="48">
        <f t="shared" si="1"/>
        <v>17267.06</v>
      </c>
      <c r="E18" s="44"/>
      <c r="F18" s="44"/>
      <c r="G18" s="44"/>
      <c r="H18" s="44"/>
      <c r="I18" s="44"/>
      <c r="J18" s="44"/>
      <c r="K18" s="44"/>
    </row>
    <row r="19" spans="1:11" s="92" customFormat="1" ht="18" customHeight="1">
      <c r="A19" s="93">
        <f t="shared" si="0"/>
        <v>13</v>
      </c>
      <c r="B19" s="64" t="s">
        <v>14</v>
      </c>
      <c r="C19" s="43">
        <f>684.36-20</f>
        <v>664.36</v>
      </c>
      <c r="D19" s="48">
        <f t="shared" si="1"/>
        <v>13862.89</v>
      </c>
      <c r="E19" s="44"/>
      <c r="F19" s="44"/>
      <c r="G19" s="44"/>
      <c r="H19" s="44"/>
      <c r="I19" s="44"/>
      <c r="J19" s="44"/>
      <c r="K19" s="44"/>
    </row>
    <row r="20" spans="1:11" s="92" customFormat="1" ht="18" customHeight="1">
      <c r="A20" s="93">
        <f t="shared" si="0"/>
        <v>14</v>
      </c>
      <c r="B20" s="64" t="s">
        <v>15</v>
      </c>
      <c r="C20" s="43">
        <f>560.4+45+110-15</f>
        <v>700.4</v>
      </c>
      <c r="D20" s="48">
        <f t="shared" si="1"/>
        <v>14614.92</v>
      </c>
      <c r="E20" s="44"/>
      <c r="F20" s="44"/>
      <c r="G20" s="44"/>
      <c r="H20" s="44"/>
      <c r="I20" s="44"/>
      <c r="J20" s="44"/>
      <c r="K20" s="44"/>
    </row>
    <row r="21" spans="1:11" s="14" customFormat="1" ht="18" customHeight="1">
      <c r="A21" s="93">
        <f t="shared" si="0"/>
        <v>15</v>
      </c>
      <c r="B21" s="64" t="s">
        <v>48</v>
      </c>
      <c r="C21" s="43">
        <f>387.48+15</f>
        <v>402.48</v>
      </c>
      <c r="D21" s="48">
        <f t="shared" si="1"/>
        <v>8398.36</v>
      </c>
      <c r="E21" s="53"/>
      <c r="F21" s="53"/>
      <c r="G21" s="53"/>
      <c r="H21" s="53"/>
      <c r="I21" s="53"/>
      <c r="J21" s="53"/>
      <c r="K21" s="53"/>
    </row>
    <row r="22" spans="1:11" s="92" customFormat="1" ht="18" customHeight="1">
      <c r="A22" s="93">
        <f t="shared" si="0"/>
        <v>16</v>
      </c>
      <c r="B22" s="64" t="s">
        <v>40</v>
      </c>
      <c r="C22" s="43">
        <v>487</v>
      </c>
      <c r="D22" s="48">
        <f t="shared" si="1"/>
        <v>10162</v>
      </c>
      <c r="E22" s="44"/>
      <c r="F22" s="44"/>
      <c r="G22" s="44"/>
      <c r="H22" s="44"/>
      <c r="I22" s="44"/>
      <c r="J22" s="44"/>
      <c r="K22" s="44"/>
    </row>
    <row r="23" spans="1:11" s="26" customFormat="1" ht="18" customHeight="1">
      <c r="A23" s="93">
        <f t="shared" si="0"/>
        <v>17</v>
      </c>
      <c r="B23" s="64" t="s">
        <v>16</v>
      </c>
      <c r="C23" s="43">
        <v>364.4</v>
      </c>
      <c r="D23" s="48">
        <f t="shared" si="1"/>
        <v>7603.76</v>
      </c>
      <c r="E23" s="36"/>
      <c r="F23" s="36"/>
      <c r="G23" s="36"/>
      <c r="H23" s="36"/>
      <c r="I23" s="36"/>
      <c r="J23" s="36"/>
      <c r="K23" s="36"/>
    </row>
    <row r="24" spans="1:11" s="92" customFormat="1" ht="18" customHeight="1">
      <c r="A24" s="93">
        <f t="shared" si="0"/>
        <v>18</v>
      </c>
      <c r="B24" s="64" t="s">
        <v>58</v>
      </c>
      <c r="C24" s="43">
        <f>677-10+10</f>
        <v>677</v>
      </c>
      <c r="D24" s="48">
        <f t="shared" si="1"/>
        <v>14126.64</v>
      </c>
      <c r="E24" s="44"/>
      <c r="F24" s="44"/>
      <c r="G24" s="44"/>
      <c r="H24" s="44"/>
      <c r="I24" s="44"/>
      <c r="J24" s="44"/>
      <c r="K24" s="44"/>
    </row>
    <row r="25" spans="1:11" s="14" customFormat="1" ht="18" customHeight="1">
      <c r="A25" s="93">
        <f t="shared" si="0"/>
        <v>19</v>
      </c>
      <c r="B25" s="64" t="s">
        <v>49</v>
      </c>
      <c r="C25" s="43">
        <v>681.4</v>
      </c>
      <c r="D25" s="48">
        <f t="shared" si="1"/>
        <v>14218.46</v>
      </c>
      <c r="E25" s="53"/>
      <c r="F25" s="53"/>
      <c r="G25" s="53"/>
      <c r="H25" s="53"/>
      <c r="I25" s="53"/>
      <c r="J25" s="53"/>
      <c r="K25" s="53"/>
    </row>
    <row r="26" spans="1:11" s="14" customFormat="1" ht="36" customHeight="1">
      <c r="A26" s="93">
        <f t="shared" si="0"/>
        <v>20</v>
      </c>
      <c r="B26" s="64" t="s">
        <v>19</v>
      </c>
      <c r="C26" s="43">
        <f>1391+15+158</f>
        <v>1564</v>
      </c>
      <c r="D26" s="48">
        <f t="shared" si="1"/>
        <v>32635.26</v>
      </c>
      <c r="E26" s="53"/>
      <c r="F26" s="53"/>
      <c r="G26" s="53"/>
      <c r="H26" s="53"/>
      <c r="I26" s="53"/>
      <c r="J26" s="53"/>
      <c r="K26" s="53"/>
    </row>
    <row r="27" spans="1:11" s="14" customFormat="1" ht="18" customHeight="1">
      <c r="A27" s="93">
        <f t="shared" si="0"/>
        <v>21</v>
      </c>
      <c r="B27" s="64" t="s">
        <v>30</v>
      </c>
      <c r="C27" s="43">
        <v>762.2</v>
      </c>
      <c r="D27" s="48">
        <f t="shared" si="1"/>
        <v>15904.47</v>
      </c>
      <c r="E27" s="53"/>
      <c r="F27" s="53"/>
      <c r="G27" s="53"/>
      <c r="H27" s="53"/>
      <c r="I27" s="53"/>
      <c r="J27" s="53"/>
      <c r="K27" s="53"/>
    </row>
    <row r="28" spans="1:11" s="14" customFormat="1" ht="18" customHeight="1">
      <c r="A28" s="93">
        <f t="shared" si="0"/>
        <v>22</v>
      </c>
      <c r="B28" s="64" t="s">
        <v>41</v>
      </c>
      <c r="C28" s="43">
        <v>743.08</v>
      </c>
      <c r="D28" s="48">
        <f t="shared" si="1"/>
        <v>15505.5</v>
      </c>
      <c r="E28" s="53"/>
      <c r="F28" s="53"/>
      <c r="G28" s="53"/>
      <c r="H28" s="53"/>
      <c r="I28" s="53"/>
      <c r="J28" s="53"/>
      <c r="K28" s="53"/>
    </row>
    <row r="29" spans="1:11" s="14" customFormat="1" ht="18" customHeight="1">
      <c r="A29" s="93">
        <f t="shared" si="0"/>
        <v>23</v>
      </c>
      <c r="B29" s="64" t="s">
        <v>42</v>
      </c>
      <c r="C29" s="43">
        <f>699-40</f>
        <v>659</v>
      </c>
      <c r="D29" s="48">
        <f t="shared" si="1"/>
        <v>13751.04</v>
      </c>
      <c r="E29" s="53"/>
      <c r="F29" s="53"/>
      <c r="G29" s="53"/>
      <c r="H29" s="53"/>
      <c r="I29" s="53"/>
      <c r="J29" s="53"/>
      <c r="K29" s="53"/>
    </row>
    <row r="30" spans="1:11" s="1" customFormat="1" ht="18" customHeight="1">
      <c r="A30" s="93">
        <f t="shared" si="0"/>
        <v>24</v>
      </c>
      <c r="B30" s="65" t="s">
        <v>59</v>
      </c>
      <c r="C30" s="43">
        <v>372.92999999999995</v>
      </c>
      <c r="D30" s="48">
        <f t="shared" si="1"/>
        <v>7781.76</v>
      </c>
      <c r="E30" s="4"/>
      <c r="F30" s="4"/>
      <c r="G30" s="4"/>
      <c r="H30" s="4"/>
      <c r="I30" s="4"/>
      <c r="J30" s="4"/>
      <c r="K30" s="4"/>
    </row>
    <row r="31" spans="1:11" s="14" customFormat="1" ht="18" customHeight="1">
      <c r="A31" s="93">
        <f t="shared" si="0"/>
        <v>25</v>
      </c>
      <c r="B31" s="64" t="s">
        <v>43</v>
      </c>
      <c r="C31" s="43">
        <f>1024.3+10</f>
        <v>1034.3</v>
      </c>
      <c r="D31" s="48">
        <f t="shared" si="1"/>
        <v>21582.25</v>
      </c>
      <c r="E31" s="53"/>
      <c r="F31" s="53"/>
      <c r="G31" s="53"/>
      <c r="H31" s="53"/>
      <c r="I31" s="53"/>
      <c r="J31" s="53"/>
      <c r="K31" s="53"/>
    </row>
    <row r="32" spans="1:11" s="14" customFormat="1" ht="30" customHeight="1">
      <c r="A32" s="93">
        <f t="shared" si="0"/>
        <v>26</v>
      </c>
      <c r="B32" s="64" t="s">
        <v>44</v>
      </c>
      <c r="C32" s="43">
        <f>2320.6+15+30+49.2+30</f>
        <v>2444.7999999999997</v>
      </c>
      <c r="D32" s="48">
        <f t="shared" si="1"/>
        <v>51014.5</v>
      </c>
      <c r="E32" s="53"/>
      <c r="F32" s="53"/>
      <c r="G32" s="53"/>
      <c r="H32" s="53"/>
      <c r="I32" s="53"/>
      <c r="J32" s="53"/>
      <c r="K32" s="53"/>
    </row>
    <row r="33" spans="1:11" s="14" customFormat="1" ht="18" customHeight="1">
      <c r="A33" s="93">
        <f t="shared" si="0"/>
        <v>27</v>
      </c>
      <c r="B33" s="64" t="s">
        <v>45</v>
      </c>
      <c r="C33" s="43">
        <f>584.7+2.5+32.4</f>
        <v>619.6</v>
      </c>
      <c r="D33" s="48">
        <f t="shared" si="1"/>
        <v>12928.9</v>
      </c>
      <c r="E33" s="53"/>
      <c r="F33" s="53"/>
      <c r="G33" s="53"/>
      <c r="H33" s="53"/>
      <c r="I33" s="53"/>
      <c r="J33" s="53"/>
      <c r="K33" s="53"/>
    </row>
    <row r="34" spans="1:11" s="27" customFormat="1" ht="18" customHeight="1">
      <c r="A34" s="93">
        <f t="shared" si="0"/>
        <v>28</v>
      </c>
      <c r="B34" s="64" t="s">
        <v>20</v>
      </c>
      <c r="C34" s="43">
        <f>865.29-15</f>
        <v>850.29</v>
      </c>
      <c r="D34" s="48">
        <f t="shared" si="1"/>
        <v>17742.6</v>
      </c>
      <c r="E34" s="52"/>
      <c r="F34" s="52"/>
      <c r="G34" s="52"/>
      <c r="H34" s="52"/>
      <c r="I34" s="52"/>
      <c r="J34" s="52"/>
      <c r="K34" s="52"/>
    </row>
    <row r="35" spans="1:11" s="14" customFormat="1" ht="42.75" customHeight="1">
      <c r="A35" s="93">
        <f t="shared" si="0"/>
        <v>29</v>
      </c>
      <c r="B35" s="64" t="s">
        <v>17</v>
      </c>
      <c r="C35" s="43">
        <f>929.85+15+152+115-20+45</f>
        <v>1236.85</v>
      </c>
      <c r="D35" s="48">
        <f t="shared" si="1"/>
        <v>25808.77</v>
      </c>
      <c r="E35" s="53"/>
      <c r="F35" s="53"/>
      <c r="G35" s="53"/>
      <c r="H35" s="53"/>
      <c r="I35" s="53"/>
      <c r="J35" s="53"/>
      <c r="K35" s="53"/>
    </row>
    <row r="36" spans="1:11" s="14" customFormat="1" ht="18" customHeight="1">
      <c r="A36" s="93">
        <f t="shared" si="0"/>
        <v>30</v>
      </c>
      <c r="B36" s="64" t="s">
        <v>46</v>
      </c>
      <c r="C36" s="61">
        <v>621.31</v>
      </c>
      <c r="D36" s="48">
        <f t="shared" si="1"/>
        <v>12964.59</v>
      </c>
      <c r="E36" s="53"/>
      <c r="F36" s="53"/>
      <c r="G36" s="53"/>
      <c r="H36" s="53"/>
      <c r="I36" s="53"/>
      <c r="J36" s="53"/>
      <c r="K36" s="53"/>
    </row>
    <row r="37" spans="1:11" ht="20.25" customHeight="1">
      <c r="A37" s="93">
        <f t="shared" si="0"/>
        <v>31</v>
      </c>
      <c r="B37" s="65" t="s">
        <v>47</v>
      </c>
      <c r="C37" s="61">
        <f>1549.14-7.2</f>
        <v>1541.94</v>
      </c>
      <c r="D37" s="48">
        <f t="shared" si="1"/>
        <v>32174.94</v>
      </c>
      <c r="E37" s="51"/>
      <c r="F37" s="51"/>
      <c r="G37" s="51"/>
      <c r="H37" s="51"/>
      <c r="I37" s="51"/>
      <c r="J37" s="51"/>
      <c r="K37" s="51"/>
    </row>
    <row r="38" spans="1:11" ht="18" customHeight="1">
      <c r="A38" s="93">
        <f t="shared" si="0"/>
        <v>32</v>
      </c>
      <c r="B38" s="65" t="s">
        <v>18</v>
      </c>
      <c r="C38" s="61">
        <v>1230.6</v>
      </c>
      <c r="D38" s="48">
        <f t="shared" si="1"/>
        <v>25678.35</v>
      </c>
      <c r="E38" s="51"/>
      <c r="F38" s="51"/>
      <c r="G38" s="51"/>
      <c r="H38" s="51"/>
      <c r="I38" s="51"/>
      <c r="J38" s="51"/>
      <c r="K38" s="51"/>
    </row>
    <row r="39" spans="1:11" ht="18" customHeight="1">
      <c r="A39" s="15"/>
      <c r="B39" s="95" t="s">
        <v>3</v>
      </c>
      <c r="C39" s="5">
        <f>SUM(C7:C38)</f>
        <v>30097.51</v>
      </c>
      <c r="D39" s="5">
        <f>SUM(D7:D38)</f>
        <v>628030.6699999999</v>
      </c>
      <c r="E39" s="51"/>
      <c r="F39" s="51"/>
      <c r="G39" s="51"/>
      <c r="H39" s="51"/>
      <c r="I39" s="51"/>
      <c r="J39" s="51"/>
      <c r="K39" s="51"/>
    </row>
    <row r="40" spans="1:11" ht="12.75">
      <c r="A40" s="15"/>
      <c r="B40" s="96" t="s">
        <v>21</v>
      </c>
      <c r="C40" s="5">
        <f>C41*0.5-0.01</f>
        <v>628030.665</v>
      </c>
      <c r="D40" s="47"/>
      <c r="E40" s="51"/>
      <c r="F40" s="51"/>
      <c r="G40" s="51"/>
      <c r="H40" s="51"/>
      <c r="I40" s="51"/>
      <c r="J40" s="51"/>
      <c r="K40" s="51"/>
    </row>
    <row r="41" spans="1:4" ht="13.5" thickBot="1">
      <c r="A41" s="16"/>
      <c r="B41" s="97" t="s">
        <v>5</v>
      </c>
      <c r="C41" s="98">
        <v>1256061.35</v>
      </c>
      <c r="D41" s="99"/>
    </row>
    <row r="42" spans="2:4" ht="12.75">
      <c r="B42" s="12"/>
      <c r="C42" s="3"/>
      <c r="D42" s="17"/>
    </row>
    <row r="43" spans="2:4" ht="12.75">
      <c r="B43" s="12" t="s">
        <v>4</v>
      </c>
      <c r="C43" s="3">
        <f>ROUND(C40/C39,2)</f>
        <v>20.87</v>
      </c>
      <c r="D43" s="17"/>
    </row>
    <row r="44" spans="2:4" ht="12.75">
      <c r="B44" s="100"/>
      <c r="C44" s="101"/>
      <c r="D44" s="17"/>
    </row>
    <row r="45" spans="2:4" ht="12.75">
      <c r="B45" s="100"/>
      <c r="C45" s="101"/>
      <c r="D45" s="17"/>
    </row>
    <row r="46" spans="2:4" ht="12.75">
      <c r="B46" s="100"/>
      <c r="C46" s="101"/>
      <c r="D46" s="17"/>
    </row>
  </sheetData>
  <sheetProtection/>
  <mergeCells count="2">
    <mergeCell ref="A4:B4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zoomScalePageLayoutView="0" workbookViewId="0" topLeftCell="A26">
      <selection activeCell="B60" sqref="B60"/>
    </sheetView>
  </sheetViews>
  <sheetFormatPr defaultColWidth="9.140625" defaultRowHeight="12.75"/>
  <cols>
    <col min="1" max="1" width="3.57421875" style="13" customWidth="1"/>
    <col min="2" max="2" width="38.28125" style="13" customWidth="1"/>
    <col min="3" max="3" width="17.421875" style="1" customWidth="1"/>
    <col min="4" max="4" width="25.140625" style="13" customWidth="1"/>
    <col min="5" max="5" width="28.140625" style="13" hidden="1" customWidth="1"/>
    <col min="6" max="16384" width="9.140625" style="13" customWidth="1"/>
  </cols>
  <sheetData>
    <row r="1" spans="1:5" s="82" customFormat="1" ht="13.5">
      <c r="A1" s="132" t="s">
        <v>25</v>
      </c>
      <c r="B1" s="133"/>
      <c r="C1" s="133"/>
      <c r="D1" s="133"/>
      <c r="E1" s="84"/>
    </row>
    <row r="2" s="21" customFormat="1" ht="15"/>
    <row r="3" s="21" customFormat="1" ht="15">
      <c r="C3" s="104"/>
    </row>
    <row r="4" spans="2:5" s="21" customFormat="1" ht="15.75" thickBot="1">
      <c r="B4" s="126" t="str">
        <f>evaluare!A4</f>
        <v>29/04/2021</v>
      </c>
      <c r="C4" s="127"/>
      <c r="D4" s="88" t="s">
        <v>7</v>
      </c>
      <c r="E4" s="88"/>
    </row>
    <row r="5" spans="1:5" s="1" customFormat="1" ht="39.75" thickBot="1">
      <c r="A5" s="32" t="s">
        <v>0</v>
      </c>
      <c r="B5" s="33" t="s">
        <v>1</v>
      </c>
      <c r="C5" s="69" t="s">
        <v>56</v>
      </c>
      <c r="D5" s="76" t="s">
        <v>31</v>
      </c>
      <c r="E5" s="130" t="s">
        <v>54</v>
      </c>
    </row>
    <row r="6" spans="1:5" s="2" customFormat="1" ht="27" thickBot="1">
      <c r="A6" s="34">
        <v>0</v>
      </c>
      <c r="B6" s="35">
        <v>1</v>
      </c>
      <c r="C6" s="70">
        <v>2</v>
      </c>
      <c r="D6" s="77" t="s">
        <v>32</v>
      </c>
      <c r="E6" s="131"/>
    </row>
    <row r="7" spans="1:5" ht="12.75">
      <c r="A7" s="41">
        <v>1</v>
      </c>
      <c r="B7" s="63" t="s">
        <v>11</v>
      </c>
      <c r="C7" s="46">
        <v>138</v>
      </c>
      <c r="D7" s="78">
        <f>ROUND(C7/C$39*C$40,2)+0.01</f>
        <v>9555.49</v>
      </c>
      <c r="E7" s="71"/>
    </row>
    <row r="8" spans="1:5" ht="12.75">
      <c r="A8" s="42">
        <f>A7+1</f>
        <v>2</v>
      </c>
      <c r="B8" s="64" t="s">
        <v>57</v>
      </c>
      <c r="C8" s="48">
        <v>456</v>
      </c>
      <c r="D8" s="79">
        <f aca="true" t="shared" si="0" ref="D8:D14">ROUND(C8/C$39*C$40,2)</f>
        <v>31574.64</v>
      </c>
      <c r="E8" s="72"/>
    </row>
    <row r="9" spans="1:5" ht="12.75">
      <c r="A9" s="42">
        <f aca="true" t="shared" si="1" ref="A9:A38">A8+1</f>
        <v>3</v>
      </c>
      <c r="B9" s="64" t="s">
        <v>36</v>
      </c>
      <c r="C9" s="48">
        <v>122</v>
      </c>
      <c r="D9" s="79">
        <f t="shared" si="0"/>
        <v>8447.6</v>
      </c>
      <c r="E9" s="72"/>
    </row>
    <row r="10" spans="1:5" ht="12.75">
      <c r="A10" s="42">
        <f t="shared" si="1"/>
        <v>4</v>
      </c>
      <c r="B10" s="64" t="s">
        <v>12</v>
      </c>
      <c r="C10" s="48">
        <v>150</v>
      </c>
      <c r="D10" s="79">
        <f t="shared" si="0"/>
        <v>10386.39</v>
      </c>
      <c r="E10" s="72"/>
    </row>
    <row r="11" spans="1:5" ht="12.75">
      <c r="A11" s="42">
        <f t="shared" si="1"/>
        <v>5</v>
      </c>
      <c r="B11" s="64" t="s">
        <v>13</v>
      </c>
      <c r="C11" s="48">
        <v>123</v>
      </c>
      <c r="D11" s="79">
        <f t="shared" si="0"/>
        <v>8516.84</v>
      </c>
      <c r="E11" s="72"/>
    </row>
    <row r="12" spans="1:5" ht="12.75">
      <c r="A12" s="42">
        <f t="shared" si="1"/>
        <v>6</v>
      </c>
      <c r="B12" s="94" t="s">
        <v>61</v>
      </c>
      <c r="C12" s="48">
        <f>101</f>
        <v>101</v>
      </c>
      <c r="D12" s="79">
        <f t="shared" si="0"/>
        <v>6993.51</v>
      </c>
      <c r="E12" s="72"/>
    </row>
    <row r="13" spans="1:5" ht="12.75">
      <c r="A13" s="42">
        <f t="shared" si="1"/>
        <v>7</v>
      </c>
      <c r="B13" s="66" t="s">
        <v>51</v>
      </c>
      <c r="C13" s="48">
        <v>278</v>
      </c>
      <c r="D13" s="79">
        <f t="shared" si="0"/>
        <v>19249.45</v>
      </c>
      <c r="E13" s="72"/>
    </row>
    <row r="14" spans="1:5" ht="12.75">
      <c r="A14" s="42">
        <f t="shared" si="1"/>
        <v>8</v>
      </c>
      <c r="B14" s="64" t="s">
        <v>37</v>
      </c>
      <c r="C14" s="48">
        <v>161</v>
      </c>
      <c r="D14" s="79">
        <f t="shared" si="0"/>
        <v>11148.06</v>
      </c>
      <c r="E14" s="72"/>
    </row>
    <row r="15" spans="1:5" ht="22.5">
      <c r="A15" s="42">
        <f t="shared" si="1"/>
        <v>9</v>
      </c>
      <c r="B15" s="64" t="s">
        <v>50</v>
      </c>
      <c r="C15" s="48">
        <v>71</v>
      </c>
      <c r="D15" s="79">
        <f aca="true" t="shared" si="2" ref="D15:D38">ROUND(C15/C$39*C$40,2)</f>
        <v>4916.23</v>
      </c>
      <c r="E15" s="72"/>
    </row>
    <row r="16" spans="1:5" ht="12.75">
      <c r="A16" s="42">
        <f t="shared" si="1"/>
        <v>10</v>
      </c>
      <c r="B16" s="64" t="s">
        <v>38</v>
      </c>
      <c r="C16" s="48">
        <v>144</v>
      </c>
      <c r="D16" s="79">
        <f t="shared" si="2"/>
        <v>9970.94</v>
      </c>
      <c r="E16" s="72"/>
    </row>
    <row r="17" spans="1:5" ht="12.75">
      <c r="A17" s="42">
        <f t="shared" si="1"/>
        <v>11</v>
      </c>
      <c r="B17" s="64" t="s">
        <v>39</v>
      </c>
      <c r="C17" s="48">
        <f>65+63+4</f>
        <v>132</v>
      </c>
      <c r="D17" s="79">
        <f t="shared" si="2"/>
        <v>9140.03</v>
      </c>
      <c r="E17" s="72"/>
    </row>
    <row r="18" spans="1:5" ht="12.75">
      <c r="A18" s="42">
        <f t="shared" si="1"/>
        <v>12</v>
      </c>
      <c r="B18" s="64" t="s">
        <v>23</v>
      </c>
      <c r="C18" s="48">
        <v>157</v>
      </c>
      <c r="D18" s="79">
        <f t="shared" si="2"/>
        <v>10871.09</v>
      </c>
      <c r="E18" s="72"/>
    </row>
    <row r="19" spans="1:5" ht="12.75">
      <c r="A19" s="42">
        <f t="shared" si="1"/>
        <v>13</v>
      </c>
      <c r="B19" s="64" t="s">
        <v>14</v>
      </c>
      <c r="C19" s="48">
        <v>161</v>
      </c>
      <c r="D19" s="79">
        <f t="shared" si="2"/>
        <v>11148.06</v>
      </c>
      <c r="E19" s="72"/>
    </row>
    <row r="20" spans="1:5" s="14" customFormat="1" ht="12.75">
      <c r="A20" s="42">
        <f t="shared" si="1"/>
        <v>14</v>
      </c>
      <c r="B20" s="64" t="s">
        <v>15</v>
      </c>
      <c r="C20" s="48">
        <v>120</v>
      </c>
      <c r="D20" s="79">
        <f t="shared" si="2"/>
        <v>8309.12</v>
      </c>
      <c r="E20" s="72"/>
    </row>
    <row r="21" spans="1:5" ht="12.75">
      <c r="A21" s="42">
        <f t="shared" si="1"/>
        <v>15</v>
      </c>
      <c r="B21" s="64" t="s">
        <v>48</v>
      </c>
      <c r="C21" s="48">
        <v>72</v>
      </c>
      <c r="D21" s="79">
        <f t="shared" si="2"/>
        <v>4985.47</v>
      </c>
      <c r="E21" s="72"/>
    </row>
    <row r="22" spans="1:5" ht="12.75">
      <c r="A22" s="42">
        <f t="shared" si="1"/>
        <v>16</v>
      </c>
      <c r="B22" s="64" t="s">
        <v>40</v>
      </c>
      <c r="C22" s="48">
        <v>140</v>
      </c>
      <c r="D22" s="79">
        <f t="shared" si="2"/>
        <v>9693.97</v>
      </c>
      <c r="E22" s="72"/>
    </row>
    <row r="23" spans="1:5" ht="12.75">
      <c r="A23" s="42">
        <f t="shared" si="1"/>
        <v>17</v>
      </c>
      <c r="B23" s="64" t="s">
        <v>16</v>
      </c>
      <c r="C23" s="48">
        <v>151</v>
      </c>
      <c r="D23" s="79">
        <f t="shared" si="2"/>
        <v>10455.64</v>
      </c>
      <c r="E23" s="72"/>
    </row>
    <row r="24" spans="1:5" ht="12.75">
      <c r="A24" s="42">
        <f t="shared" si="1"/>
        <v>18</v>
      </c>
      <c r="B24" s="64" t="s">
        <v>58</v>
      </c>
      <c r="C24" s="48">
        <v>135</v>
      </c>
      <c r="D24" s="79">
        <f t="shared" si="2"/>
        <v>9347.76</v>
      </c>
      <c r="E24" s="72"/>
    </row>
    <row r="25" spans="1:5" ht="12.75">
      <c r="A25" s="42">
        <f t="shared" si="1"/>
        <v>19</v>
      </c>
      <c r="B25" s="64" t="s">
        <v>49</v>
      </c>
      <c r="C25" s="48">
        <v>131</v>
      </c>
      <c r="D25" s="79">
        <f t="shared" si="2"/>
        <v>9070.78</v>
      </c>
      <c r="E25" s="72"/>
    </row>
    <row r="26" spans="1:5" ht="12.75">
      <c r="A26" s="42">
        <f t="shared" si="1"/>
        <v>20</v>
      </c>
      <c r="B26" s="64" t="s">
        <v>19</v>
      </c>
      <c r="C26" s="48">
        <v>151</v>
      </c>
      <c r="D26" s="79">
        <f t="shared" si="2"/>
        <v>10455.64</v>
      </c>
      <c r="E26" s="72"/>
    </row>
    <row r="27" spans="1:5" ht="26.25">
      <c r="A27" s="42">
        <f t="shared" si="1"/>
        <v>21</v>
      </c>
      <c r="B27" s="64" t="s">
        <v>30</v>
      </c>
      <c r="C27" s="48">
        <v>84</v>
      </c>
      <c r="D27" s="79">
        <f t="shared" si="2"/>
        <v>5816.38</v>
      </c>
      <c r="E27" s="73" t="s">
        <v>55</v>
      </c>
    </row>
    <row r="28" spans="1:5" ht="12.75">
      <c r="A28" s="42">
        <f t="shared" si="1"/>
        <v>22</v>
      </c>
      <c r="B28" s="64" t="s">
        <v>41</v>
      </c>
      <c r="C28" s="48">
        <v>113</v>
      </c>
      <c r="D28" s="79">
        <f t="shared" si="2"/>
        <v>7824.42</v>
      </c>
      <c r="E28" s="72"/>
    </row>
    <row r="29" spans="1:5" ht="12.75">
      <c r="A29" s="42">
        <f t="shared" si="1"/>
        <v>23</v>
      </c>
      <c r="B29" s="64" t="s">
        <v>42</v>
      </c>
      <c r="C29" s="48">
        <v>71</v>
      </c>
      <c r="D29" s="79">
        <f t="shared" si="2"/>
        <v>4916.23</v>
      </c>
      <c r="E29" s="72"/>
    </row>
    <row r="30" spans="1:5" ht="12.75">
      <c r="A30" s="42">
        <f t="shared" si="1"/>
        <v>24</v>
      </c>
      <c r="B30" s="65" t="s">
        <v>59</v>
      </c>
      <c r="C30" s="48">
        <v>91</v>
      </c>
      <c r="D30" s="79">
        <f t="shared" si="2"/>
        <v>6301.08</v>
      </c>
      <c r="E30" s="72"/>
    </row>
    <row r="31" spans="1:5" ht="22.5">
      <c r="A31" s="42">
        <f t="shared" si="1"/>
        <v>25</v>
      </c>
      <c r="B31" s="64" t="s">
        <v>43</v>
      </c>
      <c r="C31" s="48">
        <v>119</v>
      </c>
      <c r="D31" s="79">
        <f t="shared" si="2"/>
        <v>8239.87</v>
      </c>
      <c r="E31" s="72"/>
    </row>
    <row r="32" spans="1:5" ht="22.5">
      <c r="A32" s="42">
        <f t="shared" si="1"/>
        <v>26</v>
      </c>
      <c r="B32" s="64" t="s">
        <v>44</v>
      </c>
      <c r="C32" s="48">
        <v>159</v>
      </c>
      <c r="D32" s="79">
        <f t="shared" si="2"/>
        <v>11009.58</v>
      </c>
      <c r="E32" s="72"/>
    </row>
    <row r="33" spans="1:5" ht="12.75">
      <c r="A33" s="42">
        <f t="shared" si="1"/>
        <v>27</v>
      </c>
      <c r="B33" s="64" t="s">
        <v>45</v>
      </c>
      <c r="C33" s="48">
        <f>74-8</f>
        <v>66</v>
      </c>
      <c r="D33" s="79">
        <f t="shared" si="2"/>
        <v>4570.01</v>
      </c>
      <c r="E33" s="72"/>
    </row>
    <row r="34" spans="1:5" ht="12.75">
      <c r="A34" s="42">
        <f t="shared" si="1"/>
        <v>28</v>
      </c>
      <c r="B34" s="64" t="s">
        <v>20</v>
      </c>
      <c r="C34" s="48">
        <f>144</f>
        <v>144</v>
      </c>
      <c r="D34" s="79">
        <f t="shared" si="2"/>
        <v>9970.94</v>
      </c>
      <c r="E34" s="72"/>
    </row>
    <row r="35" spans="1:5" ht="12.75">
      <c r="A35" s="42">
        <f t="shared" si="1"/>
        <v>29</v>
      </c>
      <c r="B35" s="64" t="s">
        <v>17</v>
      </c>
      <c r="C35" s="48">
        <v>155</v>
      </c>
      <c r="D35" s="79">
        <f t="shared" si="2"/>
        <v>10732.61</v>
      </c>
      <c r="E35" s="72"/>
    </row>
    <row r="36" spans="1:5" ht="12.75">
      <c r="A36" s="42">
        <f t="shared" si="1"/>
        <v>30</v>
      </c>
      <c r="B36" s="64" t="s">
        <v>46</v>
      </c>
      <c r="C36" s="48">
        <v>130</v>
      </c>
      <c r="D36" s="79">
        <f t="shared" si="2"/>
        <v>9001.54</v>
      </c>
      <c r="E36" s="72"/>
    </row>
    <row r="37" spans="1:5" ht="12.75">
      <c r="A37" s="42">
        <f t="shared" si="1"/>
        <v>31</v>
      </c>
      <c r="B37" s="65" t="s">
        <v>47</v>
      </c>
      <c r="C37" s="48">
        <v>156</v>
      </c>
      <c r="D37" s="79">
        <f t="shared" si="2"/>
        <v>10801.85</v>
      </c>
      <c r="E37" s="72"/>
    </row>
    <row r="38" spans="1:5" ht="12.75">
      <c r="A38" s="42">
        <f t="shared" si="1"/>
        <v>32</v>
      </c>
      <c r="B38" s="65" t="s">
        <v>18</v>
      </c>
      <c r="C38" s="48">
        <v>153</v>
      </c>
      <c r="D38" s="79">
        <f t="shared" si="2"/>
        <v>10594.12</v>
      </c>
      <c r="E38" s="72"/>
    </row>
    <row r="39" spans="1:5" s="1" customFormat="1" ht="13.5" thickBot="1">
      <c r="A39" s="6"/>
      <c r="B39" s="10" t="s">
        <v>3</v>
      </c>
      <c r="C39" s="47">
        <f>SUM(C7:C38)</f>
        <v>4535</v>
      </c>
      <c r="D39" s="80">
        <f>SUM(D7:D38)</f>
        <v>314015.3399999999</v>
      </c>
      <c r="E39" s="74"/>
    </row>
    <row r="40" spans="1:5" ht="13.5" thickBot="1">
      <c r="A40" s="16"/>
      <c r="B40" s="11" t="s">
        <v>27</v>
      </c>
      <c r="C40" s="49">
        <f>ROUND(evaluare!C41*0.5*0.5,2)</f>
        <v>314015.34</v>
      </c>
      <c r="D40" s="75"/>
      <c r="E40" s="49"/>
    </row>
    <row r="41" spans="2:5" ht="12.75">
      <c r="B41" s="45"/>
      <c r="C41" s="7"/>
      <c r="D41" s="45"/>
      <c r="E41" s="45"/>
    </row>
    <row r="42" spans="2:5" ht="12.75">
      <c r="B42" s="12" t="s">
        <v>4</v>
      </c>
      <c r="C42" s="3">
        <f>ROUND(C40/C39,2)</f>
        <v>69.24</v>
      </c>
      <c r="D42" s="17"/>
      <c r="E42" s="17"/>
    </row>
  </sheetData>
  <sheetProtection/>
  <mergeCells count="3">
    <mergeCell ref="E5:E6"/>
    <mergeCell ref="A1:D1"/>
    <mergeCell ref="B4:C4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36">
      <selection activeCell="A43" sqref="A43:IV46"/>
    </sheetView>
  </sheetViews>
  <sheetFormatPr defaultColWidth="9.140625" defaultRowHeight="12.75" outlineLevelCol="1"/>
  <cols>
    <col min="1" max="1" width="3.57421875" style="13" customWidth="1"/>
    <col min="2" max="2" width="42.28125" style="13" customWidth="1"/>
    <col min="3" max="3" width="21.8515625" style="4" customWidth="1"/>
    <col min="4" max="4" width="16.7109375" style="13" customWidth="1"/>
    <col min="5" max="5" width="19.421875" style="13" customWidth="1"/>
    <col min="6" max="6" width="12.00390625" style="13" hidden="1" customWidth="1" outlineLevel="1"/>
    <col min="7" max="7" width="11.00390625" style="13" hidden="1" customWidth="1" outlineLevel="1" collapsed="1"/>
    <col min="8" max="8" width="9.140625" style="13" customWidth="1" collapsed="1"/>
    <col min="9" max="16384" width="9.140625" style="13" customWidth="1"/>
  </cols>
  <sheetData>
    <row r="1" spans="1:6" s="83" customFormat="1" ht="36" customHeight="1">
      <c r="A1" s="132" t="s">
        <v>26</v>
      </c>
      <c r="B1" s="134"/>
      <c r="C1" s="134"/>
      <c r="D1" s="134"/>
      <c r="E1" s="106"/>
      <c r="F1" s="106"/>
    </row>
    <row r="3" spans="2:3" s="21" customFormat="1" ht="15">
      <c r="B3" s="104"/>
      <c r="C3" s="86"/>
    </row>
    <row r="4" spans="2:6" s="21" customFormat="1" ht="15.75" thickBot="1">
      <c r="B4" s="126" t="str">
        <f>evaluare!A4</f>
        <v>29/04/2021</v>
      </c>
      <c r="C4" s="127"/>
      <c r="D4" s="88" t="s">
        <v>8</v>
      </c>
      <c r="E4" s="88"/>
      <c r="F4" s="88"/>
    </row>
    <row r="5" spans="1:7" s="1" customFormat="1" ht="39.75" thickBot="1">
      <c r="A5" s="32" t="s">
        <v>0</v>
      </c>
      <c r="B5" s="33" t="s">
        <v>1</v>
      </c>
      <c r="C5" s="40" t="s">
        <v>56</v>
      </c>
      <c r="D5" s="54" t="s">
        <v>31</v>
      </c>
      <c r="E5" s="125" t="s">
        <v>54</v>
      </c>
      <c r="F5" s="19" t="s">
        <v>52</v>
      </c>
      <c r="G5" s="19" t="s">
        <v>53</v>
      </c>
    </row>
    <row r="6" spans="1:6" s="2" customFormat="1" ht="27" thickBot="1">
      <c r="A6" s="37">
        <v>0</v>
      </c>
      <c r="B6" s="35">
        <v>1</v>
      </c>
      <c r="C6" s="38">
        <v>2</v>
      </c>
      <c r="D6" s="55" t="s">
        <v>33</v>
      </c>
      <c r="E6" s="129"/>
      <c r="F6" s="20"/>
    </row>
    <row r="7" spans="1:7" ht="12.75">
      <c r="A7" s="41">
        <v>1</v>
      </c>
      <c r="B7" s="63" t="s">
        <v>11</v>
      </c>
      <c r="C7" s="107">
        <v>895</v>
      </c>
      <c r="D7" s="46">
        <f aca="true" t="shared" si="0" ref="D7:D12">ROUND(C7/C$39*C$40,2)</f>
        <v>12432.26</v>
      </c>
      <c r="E7" s="67"/>
      <c r="F7" s="59">
        <f aca="true" t="shared" si="1" ref="F7:F38">C7-G7</f>
        <v>371</v>
      </c>
      <c r="G7" s="51">
        <v>524</v>
      </c>
    </row>
    <row r="8" spans="1:7" ht="12.75">
      <c r="A8" s="42">
        <f>A7+1</f>
        <v>2</v>
      </c>
      <c r="B8" s="64" t="s">
        <v>57</v>
      </c>
      <c r="C8" s="43">
        <v>2224</v>
      </c>
      <c r="D8" s="48">
        <f t="shared" si="0"/>
        <v>30893.13</v>
      </c>
      <c r="E8" s="68"/>
      <c r="F8" s="59">
        <f t="shared" si="1"/>
        <v>1024</v>
      </c>
      <c r="G8" s="51">
        <v>1200</v>
      </c>
    </row>
    <row r="9" spans="1:7" ht="12.75">
      <c r="A9" s="42">
        <f aca="true" t="shared" si="2" ref="A9:A38">A8+1</f>
        <v>3</v>
      </c>
      <c r="B9" s="64" t="s">
        <v>36</v>
      </c>
      <c r="C9" s="43">
        <v>396</v>
      </c>
      <c r="D9" s="48">
        <f t="shared" si="0"/>
        <v>5500.76</v>
      </c>
      <c r="E9" s="81"/>
      <c r="F9" s="59">
        <f t="shared" si="1"/>
        <v>100</v>
      </c>
      <c r="G9" s="51">
        <v>296</v>
      </c>
    </row>
    <row r="10" spans="1:7" ht="12.75">
      <c r="A10" s="42">
        <f t="shared" si="2"/>
        <v>4</v>
      </c>
      <c r="B10" s="64" t="s">
        <v>12</v>
      </c>
      <c r="C10" s="43">
        <v>868</v>
      </c>
      <c r="D10" s="48">
        <f t="shared" si="0"/>
        <v>12057.21</v>
      </c>
      <c r="E10" s="81"/>
      <c r="F10" s="59">
        <f>C10-G10</f>
        <v>289</v>
      </c>
      <c r="G10" s="51">
        <v>579</v>
      </c>
    </row>
    <row r="11" spans="1:7" ht="12.75">
      <c r="A11" s="42">
        <f t="shared" si="2"/>
        <v>5</v>
      </c>
      <c r="B11" s="64" t="s">
        <v>13</v>
      </c>
      <c r="C11" s="43">
        <v>490</v>
      </c>
      <c r="D11" s="48">
        <f t="shared" si="0"/>
        <v>6806.49</v>
      </c>
      <c r="E11" s="81"/>
      <c r="F11" s="59">
        <f t="shared" si="1"/>
        <v>15</v>
      </c>
      <c r="G11" s="51">
        <v>475</v>
      </c>
    </row>
    <row r="12" spans="1:7" ht="12.75">
      <c r="A12" s="42">
        <f t="shared" si="2"/>
        <v>6</v>
      </c>
      <c r="B12" s="94" t="s">
        <v>61</v>
      </c>
      <c r="C12" s="43">
        <f>248</f>
        <v>248</v>
      </c>
      <c r="D12" s="48">
        <f t="shared" si="0"/>
        <v>3444.92</v>
      </c>
      <c r="E12" s="81"/>
      <c r="F12" s="59"/>
      <c r="G12" s="51"/>
    </row>
    <row r="13" spans="1:7" ht="12.75">
      <c r="A13" s="42">
        <f t="shared" si="2"/>
        <v>7</v>
      </c>
      <c r="B13" s="66" t="s">
        <v>51</v>
      </c>
      <c r="C13" s="43">
        <v>316</v>
      </c>
      <c r="D13" s="48">
        <f>ROUND(C13/C$39*C$40,2)+0.01</f>
        <v>4389.5</v>
      </c>
      <c r="E13" s="81"/>
      <c r="F13" s="59">
        <f>C13-G13</f>
        <v>93</v>
      </c>
      <c r="G13" s="51">
        <v>223</v>
      </c>
    </row>
    <row r="14" spans="1:7" ht="12.75">
      <c r="A14" s="42">
        <f t="shared" si="2"/>
        <v>8</v>
      </c>
      <c r="B14" s="64" t="s">
        <v>37</v>
      </c>
      <c r="C14" s="43">
        <v>1300</v>
      </c>
      <c r="D14" s="48">
        <f aca="true" t="shared" si="3" ref="D14:D38">ROUND(C14/C$39*C$40,2)</f>
        <v>18058.03</v>
      </c>
      <c r="E14" s="81"/>
      <c r="F14" s="59">
        <f t="shared" si="1"/>
        <v>-12</v>
      </c>
      <c r="G14" s="51">
        <v>1312</v>
      </c>
    </row>
    <row r="15" spans="1:7" ht="12.75">
      <c r="A15" s="42">
        <f t="shared" si="2"/>
        <v>9</v>
      </c>
      <c r="B15" s="64" t="s">
        <v>50</v>
      </c>
      <c r="C15" s="43">
        <v>443</v>
      </c>
      <c r="D15" s="48">
        <f t="shared" si="3"/>
        <v>6153.62</v>
      </c>
      <c r="E15" s="81"/>
      <c r="F15" s="59">
        <f t="shared" si="1"/>
        <v>-20</v>
      </c>
      <c r="G15" s="51">
        <v>463</v>
      </c>
    </row>
    <row r="16" spans="1:7" ht="12.75">
      <c r="A16" s="42">
        <f t="shared" si="2"/>
        <v>10</v>
      </c>
      <c r="B16" s="64" t="s">
        <v>38</v>
      </c>
      <c r="C16" s="43">
        <v>576</v>
      </c>
      <c r="D16" s="48">
        <f t="shared" si="3"/>
        <v>8001.1</v>
      </c>
      <c r="E16" s="81"/>
      <c r="F16" s="59">
        <f t="shared" si="1"/>
        <v>0</v>
      </c>
      <c r="G16" s="51">
        <v>576</v>
      </c>
    </row>
    <row r="17" spans="1:7" ht="28.5" customHeight="1">
      <c r="A17" s="42">
        <f t="shared" si="2"/>
        <v>11</v>
      </c>
      <c r="B17" s="64" t="s">
        <v>39</v>
      </c>
      <c r="C17" s="43">
        <f>300+398</f>
        <v>698</v>
      </c>
      <c r="D17" s="48">
        <f t="shared" si="3"/>
        <v>9695.78</v>
      </c>
      <c r="E17" s="68" t="s">
        <v>62</v>
      </c>
      <c r="F17" s="59">
        <f t="shared" si="1"/>
        <v>398</v>
      </c>
      <c r="G17" s="51">
        <v>300</v>
      </c>
    </row>
    <row r="18" spans="1:7" ht="12.75">
      <c r="A18" s="42">
        <f t="shared" si="2"/>
        <v>12</v>
      </c>
      <c r="B18" s="64" t="s">
        <v>23</v>
      </c>
      <c r="C18" s="43">
        <v>340</v>
      </c>
      <c r="D18" s="48">
        <f t="shared" si="3"/>
        <v>4722.87</v>
      </c>
      <c r="E18" s="68"/>
      <c r="F18" s="59">
        <f>C18-G18</f>
        <v>-380</v>
      </c>
      <c r="G18" s="51">
        <v>720</v>
      </c>
    </row>
    <row r="19" spans="1:7" ht="22.5">
      <c r="A19" s="42">
        <f t="shared" si="2"/>
        <v>13</v>
      </c>
      <c r="B19" s="64" t="s">
        <v>14</v>
      </c>
      <c r="C19" s="17">
        <v>1128</v>
      </c>
      <c r="D19" s="48">
        <f t="shared" si="3"/>
        <v>15668.82</v>
      </c>
      <c r="E19" s="68" t="s">
        <v>60</v>
      </c>
      <c r="F19" s="59">
        <f t="shared" si="1"/>
        <v>56</v>
      </c>
      <c r="G19" s="51">
        <v>1072</v>
      </c>
    </row>
    <row r="20" spans="1:7" s="14" customFormat="1" ht="12.75">
      <c r="A20" s="42">
        <f t="shared" si="2"/>
        <v>14</v>
      </c>
      <c r="B20" s="64" t="s">
        <v>15</v>
      </c>
      <c r="C20" s="43">
        <v>696</v>
      </c>
      <c r="D20" s="48">
        <f t="shared" si="3"/>
        <v>9667.99</v>
      </c>
      <c r="E20" s="68"/>
      <c r="F20" s="59">
        <f t="shared" si="1"/>
        <v>310</v>
      </c>
      <c r="G20" s="53">
        <v>386</v>
      </c>
    </row>
    <row r="21" spans="1:7" ht="12.75">
      <c r="A21" s="42">
        <f t="shared" si="2"/>
        <v>15</v>
      </c>
      <c r="B21" s="64" t="s">
        <v>48</v>
      </c>
      <c r="C21" s="43">
        <v>443</v>
      </c>
      <c r="D21" s="48">
        <f t="shared" si="3"/>
        <v>6153.62</v>
      </c>
      <c r="E21" s="81"/>
      <c r="F21" s="59">
        <f t="shared" si="1"/>
        <v>166</v>
      </c>
      <c r="G21" s="51">
        <v>277</v>
      </c>
    </row>
    <row r="22" spans="1:7" s="14" customFormat="1" ht="12.75">
      <c r="A22" s="42">
        <f t="shared" si="2"/>
        <v>16</v>
      </c>
      <c r="B22" s="64" t="s">
        <v>40</v>
      </c>
      <c r="C22" s="17">
        <v>414</v>
      </c>
      <c r="D22" s="48">
        <f t="shared" si="3"/>
        <v>5750.79</v>
      </c>
      <c r="E22" s="81"/>
      <c r="F22" s="59">
        <f t="shared" si="1"/>
        <v>-270</v>
      </c>
      <c r="G22" s="53">
        <v>684</v>
      </c>
    </row>
    <row r="23" spans="1:7" ht="12.75">
      <c r="A23" s="42">
        <f t="shared" si="2"/>
        <v>17</v>
      </c>
      <c r="B23" s="64" t="s">
        <v>16</v>
      </c>
      <c r="C23" s="43">
        <v>600</v>
      </c>
      <c r="D23" s="48">
        <f t="shared" si="3"/>
        <v>8334.48</v>
      </c>
      <c r="E23" s="81"/>
      <c r="F23" s="59">
        <f t="shared" si="1"/>
        <v>88</v>
      </c>
      <c r="G23" s="51">
        <v>512</v>
      </c>
    </row>
    <row r="24" spans="1:7" ht="12.75">
      <c r="A24" s="42">
        <f t="shared" si="2"/>
        <v>18</v>
      </c>
      <c r="B24" s="64" t="s">
        <v>58</v>
      </c>
      <c r="C24" s="43">
        <v>713</v>
      </c>
      <c r="D24" s="48">
        <f t="shared" si="3"/>
        <v>9904.14</v>
      </c>
      <c r="E24" s="81"/>
      <c r="F24" s="59">
        <f t="shared" si="1"/>
        <v>196</v>
      </c>
      <c r="G24" s="51">
        <v>517</v>
      </c>
    </row>
    <row r="25" spans="1:7" ht="12.75">
      <c r="A25" s="42">
        <f t="shared" si="2"/>
        <v>19</v>
      </c>
      <c r="B25" s="64" t="s">
        <v>49</v>
      </c>
      <c r="C25" s="43">
        <v>831</v>
      </c>
      <c r="D25" s="48">
        <f t="shared" si="3"/>
        <v>11543.25</v>
      </c>
      <c r="E25" s="81"/>
      <c r="F25" s="59">
        <f>C25-G25</f>
        <v>47</v>
      </c>
      <c r="G25" s="51">
        <v>784</v>
      </c>
    </row>
    <row r="26" spans="1:7" ht="12.75">
      <c r="A26" s="42">
        <f t="shared" si="2"/>
        <v>20</v>
      </c>
      <c r="B26" s="64" t="s">
        <v>19</v>
      </c>
      <c r="C26" s="43">
        <v>1028</v>
      </c>
      <c r="D26" s="48">
        <f t="shared" si="3"/>
        <v>14279.74</v>
      </c>
      <c r="E26" s="81"/>
      <c r="F26" s="59">
        <f t="shared" si="1"/>
        <v>50</v>
      </c>
      <c r="G26" s="51">
        <v>978</v>
      </c>
    </row>
    <row r="27" spans="1:7" ht="12.75">
      <c r="A27" s="42">
        <f t="shared" si="2"/>
        <v>21</v>
      </c>
      <c r="B27" s="64" t="s">
        <v>30</v>
      </c>
      <c r="C27" s="43">
        <v>720</v>
      </c>
      <c r="D27" s="48">
        <f t="shared" si="3"/>
        <v>10001.37</v>
      </c>
      <c r="E27" s="81"/>
      <c r="F27" s="59">
        <f t="shared" si="1"/>
        <v>260</v>
      </c>
      <c r="G27" s="51">
        <v>460</v>
      </c>
    </row>
    <row r="28" spans="1:7" ht="12.75">
      <c r="A28" s="42">
        <f t="shared" si="2"/>
        <v>22</v>
      </c>
      <c r="B28" s="64" t="s">
        <v>41</v>
      </c>
      <c r="C28" s="43">
        <v>360</v>
      </c>
      <c r="D28" s="48">
        <f t="shared" si="3"/>
        <v>5000.69</v>
      </c>
      <c r="E28" s="81"/>
      <c r="F28" s="59">
        <f t="shared" si="1"/>
        <v>64</v>
      </c>
      <c r="G28" s="51">
        <v>296</v>
      </c>
    </row>
    <row r="29" spans="1:7" ht="12.75">
      <c r="A29" s="42">
        <f t="shared" si="2"/>
        <v>23</v>
      </c>
      <c r="B29" s="64" t="s">
        <v>42</v>
      </c>
      <c r="C29" s="43">
        <v>320</v>
      </c>
      <c r="D29" s="48">
        <f t="shared" si="3"/>
        <v>4445.05</v>
      </c>
      <c r="E29" s="81"/>
      <c r="F29" s="59">
        <f t="shared" si="1"/>
        <v>9</v>
      </c>
      <c r="G29" s="51">
        <v>311</v>
      </c>
    </row>
    <row r="30" spans="1:7" ht="12.75">
      <c r="A30" s="42">
        <f t="shared" si="2"/>
        <v>24</v>
      </c>
      <c r="B30" s="65" t="s">
        <v>59</v>
      </c>
      <c r="C30" s="43">
        <v>232</v>
      </c>
      <c r="D30" s="48">
        <f t="shared" si="3"/>
        <v>3222.66</v>
      </c>
      <c r="E30" s="81"/>
      <c r="F30" s="59"/>
      <c r="G30" s="51"/>
    </row>
    <row r="31" spans="1:7" ht="22.5">
      <c r="A31" s="42">
        <f t="shared" si="2"/>
        <v>25</v>
      </c>
      <c r="B31" s="64" t="s">
        <v>43</v>
      </c>
      <c r="C31" s="43">
        <v>336</v>
      </c>
      <c r="D31" s="48">
        <f t="shared" si="3"/>
        <v>4667.31</v>
      </c>
      <c r="E31" s="81"/>
      <c r="F31" s="59">
        <f t="shared" si="1"/>
        <v>68</v>
      </c>
      <c r="G31" s="51">
        <v>268</v>
      </c>
    </row>
    <row r="32" spans="1:7" ht="22.5">
      <c r="A32" s="42">
        <f t="shared" si="2"/>
        <v>26</v>
      </c>
      <c r="B32" s="64" t="s">
        <v>44</v>
      </c>
      <c r="C32" s="43">
        <v>1048</v>
      </c>
      <c r="D32" s="48">
        <f t="shared" si="3"/>
        <v>14557.55</v>
      </c>
      <c r="E32" s="81"/>
      <c r="F32" s="59">
        <f t="shared" si="1"/>
        <v>51</v>
      </c>
      <c r="G32" s="51">
        <v>997</v>
      </c>
    </row>
    <row r="33" spans="1:7" ht="12.75">
      <c r="A33" s="42">
        <f t="shared" si="2"/>
        <v>27</v>
      </c>
      <c r="B33" s="64" t="s">
        <v>45</v>
      </c>
      <c r="C33" s="43">
        <v>298</v>
      </c>
      <c r="D33" s="48">
        <f t="shared" si="3"/>
        <v>4139.46</v>
      </c>
      <c r="E33" s="81"/>
      <c r="F33" s="59">
        <f t="shared" si="1"/>
        <v>-104</v>
      </c>
      <c r="G33" s="51">
        <v>402</v>
      </c>
    </row>
    <row r="34" spans="1:7" ht="12.75">
      <c r="A34" s="42">
        <f t="shared" si="2"/>
        <v>28</v>
      </c>
      <c r="B34" s="64" t="s">
        <v>20</v>
      </c>
      <c r="C34" s="43">
        <f>600</f>
        <v>600</v>
      </c>
      <c r="D34" s="48">
        <f t="shared" si="3"/>
        <v>8334.48</v>
      </c>
      <c r="E34" s="81"/>
      <c r="F34" s="59">
        <f t="shared" si="1"/>
        <v>38</v>
      </c>
      <c r="G34" s="51">
        <v>562</v>
      </c>
    </row>
    <row r="35" spans="1:7" ht="12.75">
      <c r="A35" s="42">
        <f t="shared" si="2"/>
        <v>29</v>
      </c>
      <c r="B35" s="64" t="s">
        <v>17</v>
      </c>
      <c r="C35" s="43">
        <v>880</v>
      </c>
      <c r="D35" s="48">
        <f t="shared" si="3"/>
        <v>12223.9</v>
      </c>
      <c r="E35" s="81"/>
      <c r="F35" s="59">
        <f>C35-G35</f>
        <v>-20</v>
      </c>
      <c r="G35" s="51">
        <v>900</v>
      </c>
    </row>
    <row r="36" spans="1:7" ht="12.75">
      <c r="A36" s="42">
        <f t="shared" si="2"/>
        <v>30</v>
      </c>
      <c r="B36" s="64" t="s">
        <v>46</v>
      </c>
      <c r="C36" s="43">
        <v>992</v>
      </c>
      <c r="D36" s="48">
        <f t="shared" si="3"/>
        <v>13779.67</v>
      </c>
      <c r="E36" s="81"/>
      <c r="F36" s="59">
        <f t="shared" si="1"/>
        <v>-172</v>
      </c>
      <c r="G36" s="51">
        <v>1164</v>
      </c>
    </row>
    <row r="37" spans="1:7" ht="12.75">
      <c r="A37" s="42">
        <f t="shared" si="2"/>
        <v>31</v>
      </c>
      <c r="B37" s="65" t="s">
        <v>47</v>
      </c>
      <c r="C37" s="43">
        <v>1256</v>
      </c>
      <c r="D37" s="48">
        <f t="shared" si="3"/>
        <v>17446.84</v>
      </c>
      <c r="E37" s="81"/>
      <c r="F37" s="59">
        <f t="shared" si="1"/>
        <v>-552</v>
      </c>
      <c r="G37" s="51">
        <v>1808</v>
      </c>
    </row>
    <row r="38" spans="1:7" ht="12.75">
      <c r="A38" s="42">
        <f t="shared" si="2"/>
        <v>32</v>
      </c>
      <c r="B38" s="65" t="s">
        <v>18</v>
      </c>
      <c r="C38" s="43">
        <v>917</v>
      </c>
      <c r="D38" s="48">
        <f t="shared" si="3"/>
        <v>12737.86</v>
      </c>
      <c r="E38" s="81"/>
      <c r="F38" s="59">
        <f t="shared" si="1"/>
        <v>30</v>
      </c>
      <c r="G38" s="51">
        <v>887</v>
      </c>
    </row>
    <row r="39" spans="1:6" ht="13.5" thickBot="1">
      <c r="A39" s="108"/>
      <c r="B39" s="25" t="s">
        <v>3</v>
      </c>
      <c r="C39" s="22">
        <f>SUM(C7:C38)</f>
        <v>22606</v>
      </c>
      <c r="D39" s="56">
        <f>SUM(D7:D38)</f>
        <v>314015.33999999997</v>
      </c>
      <c r="E39" s="58"/>
      <c r="F39" s="3"/>
    </row>
    <row r="40" spans="1:6" ht="13.5" thickBot="1">
      <c r="A40" s="109"/>
      <c r="B40" s="23" t="s">
        <v>27</v>
      </c>
      <c r="C40" s="24">
        <f>evaluare!C41*0.5*0.5</f>
        <v>314015.3375</v>
      </c>
      <c r="D40" s="50"/>
      <c r="E40" s="57"/>
      <c r="F40" s="3"/>
    </row>
    <row r="41" spans="2:6" ht="12.75">
      <c r="B41" s="45"/>
      <c r="C41" s="3"/>
      <c r="D41" s="45"/>
      <c r="E41" s="45"/>
      <c r="F41" s="45"/>
    </row>
    <row r="42" spans="2:6" ht="12.75">
      <c r="B42" s="12" t="s">
        <v>4</v>
      </c>
      <c r="C42" s="3">
        <f>ROUND(C40/C39,2)</f>
        <v>13.89</v>
      </c>
      <c r="D42" s="17"/>
      <c r="E42" s="17"/>
      <c r="F42" s="17"/>
    </row>
  </sheetData>
  <sheetProtection/>
  <mergeCells count="3">
    <mergeCell ref="E5:E6"/>
    <mergeCell ref="A1:D1"/>
    <mergeCell ref="B4:C4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SheetLayoutView="100" zoomScalePageLayoutView="0" workbookViewId="0" topLeftCell="A41">
      <selection activeCell="A43" sqref="A43:IV46"/>
    </sheetView>
  </sheetViews>
  <sheetFormatPr defaultColWidth="9.140625" defaultRowHeight="12.75"/>
  <cols>
    <col min="1" max="1" width="3.421875" style="82" customWidth="1"/>
    <col min="2" max="2" width="43.8515625" style="82" customWidth="1"/>
    <col min="3" max="3" width="15.00390625" style="105" customWidth="1"/>
    <col min="4" max="4" width="16.28125" style="124" customWidth="1"/>
    <col min="5" max="5" width="15.28125" style="124" customWidth="1"/>
    <col min="6" max="6" width="16.140625" style="124" customWidth="1"/>
    <col min="7" max="16384" width="9.140625" style="82" customWidth="1"/>
  </cols>
  <sheetData>
    <row r="1" spans="1:6" ht="24.75" customHeight="1">
      <c r="A1" s="135" t="s">
        <v>64</v>
      </c>
      <c r="B1" s="135"/>
      <c r="C1" s="135"/>
      <c r="D1" s="135"/>
      <c r="E1" s="135"/>
      <c r="F1" s="135"/>
    </row>
    <row r="2" spans="1:6" s="21" customFormat="1" ht="6.75" customHeight="1">
      <c r="A2" s="113"/>
      <c r="B2" s="114"/>
      <c r="C2" s="114"/>
      <c r="D2" s="114"/>
      <c r="E2" s="114"/>
      <c r="F2" s="114"/>
    </row>
    <row r="3" spans="1:6" s="21" customFormat="1" ht="10.5" customHeight="1">
      <c r="A3" s="113"/>
      <c r="B3" s="114"/>
      <c r="C3" s="114"/>
      <c r="D3" s="114"/>
      <c r="E3" s="114"/>
      <c r="F3" s="114"/>
    </row>
    <row r="4" spans="1:6" s="13" customFormat="1" ht="36" customHeight="1" thickBot="1">
      <c r="A4" s="126" t="str">
        <f>evaluare!A4</f>
        <v>29/04/2021</v>
      </c>
      <c r="B4" s="127"/>
      <c r="C4" s="1"/>
      <c r="D4" s="51"/>
      <c r="E4" s="51"/>
      <c r="F4" s="86" t="s">
        <v>34</v>
      </c>
    </row>
    <row r="5" spans="1:6" s="118" customFormat="1" ht="54" customHeight="1" thickBot="1">
      <c r="A5" s="115" t="s">
        <v>0</v>
      </c>
      <c r="B5" s="116" t="s">
        <v>1</v>
      </c>
      <c r="C5" s="117" t="s">
        <v>3</v>
      </c>
      <c r="D5" s="117" t="s">
        <v>22</v>
      </c>
      <c r="E5" s="40" t="s">
        <v>28</v>
      </c>
      <c r="F5" s="69" t="s">
        <v>29</v>
      </c>
    </row>
    <row r="6" spans="1:6" s="110" customFormat="1" ht="25.5" customHeight="1" thickBot="1">
      <c r="A6" s="111">
        <v>0</v>
      </c>
      <c r="B6" s="112">
        <v>1</v>
      </c>
      <c r="C6" s="30">
        <v>2</v>
      </c>
      <c r="D6" s="30">
        <v>3</v>
      </c>
      <c r="E6" s="30">
        <v>4</v>
      </c>
      <c r="F6" s="39">
        <v>5</v>
      </c>
    </row>
    <row r="7" spans="1:6" s="13" customFormat="1" ht="12.75">
      <c r="A7" s="41">
        <v>1</v>
      </c>
      <c r="B7" s="119" t="s">
        <v>11</v>
      </c>
      <c r="C7" s="120">
        <f>SUM(D7:F7)</f>
        <v>40596.96</v>
      </c>
      <c r="D7" s="107">
        <f>evaluare!D7</f>
        <v>18609.21</v>
      </c>
      <c r="E7" s="107">
        <f>cal_ISO!D7</f>
        <v>9555.49</v>
      </c>
      <c r="F7" s="46">
        <f>cal_II!D7</f>
        <v>12432.26</v>
      </c>
    </row>
    <row r="8" spans="1:6" s="14" customFormat="1" ht="12.75">
      <c r="A8" s="93">
        <f>A7+1</f>
        <v>2</v>
      </c>
      <c r="B8" s="9" t="s">
        <v>35</v>
      </c>
      <c r="C8" s="5">
        <f aca="true" t="shared" si="0" ref="C8:C38">SUM(D8:F8)</f>
        <v>87728.79000000001</v>
      </c>
      <c r="D8" s="43">
        <f>evaluare!D8</f>
        <v>25261.02</v>
      </c>
      <c r="E8" s="43">
        <f>cal_ISO!D8</f>
        <v>31574.64</v>
      </c>
      <c r="F8" s="48">
        <f>cal_II!D8</f>
        <v>30893.13</v>
      </c>
    </row>
    <row r="9" spans="1:6" s="14" customFormat="1" ht="12.75">
      <c r="A9" s="93">
        <f aca="true" t="shared" si="1" ref="A9:A38">A8+1</f>
        <v>3</v>
      </c>
      <c r="B9" s="9" t="s">
        <v>36</v>
      </c>
      <c r="C9" s="5">
        <f t="shared" si="0"/>
        <v>29308.21</v>
      </c>
      <c r="D9" s="43">
        <f>evaluare!D9</f>
        <v>15359.85</v>
      </c>
      <c r="E9" s="43">
        <f>cal_ISO!D9</f>
        <v>8447.6</v>
      </c>
      <c r="F9" s="48">
        <f>cal_II!D9</f>
        <v>5500.76</v>
      </c>
    </row>
    <row r="10" spans="1:6" s="14" customFormat="1" ht="12.75">
      <c r="A10" s="93">
        <f t="shared" si="1"/>
        <v>4</v>
      </c>
      <c r="B10" s="9" t="s">
        <v>12</v>
      </c>
      <c r="C10" s="5">
        <f>SUM(D10:F10)</f>
        <v>52992.2</v>
      </c>
      <c r="D10" s="43">
        <f>evaluare!D10</f>
        <v>30548.6</v>
      </c>
      <c r="E10" s="43">
        <f>cal_ISO!D10</f>
        <v>10386.39</v>
      </c>
      <c r="F10" s="48">
        <f>cal_II!D10</f>
        <v>12057.21</v>
      </c>
    </row>
    <row r="11" spans="1:6" s="14" customFormat="1" ht="12.75">
      <c r="A11" s="93">
        <f t="shared" si="1"/>
        <v>5</v>
      </c>
      <c r="B11" s="9" t="s">
        <v>13</v>
      </c>
      <c r="C11" s="5">
        <f t="shared" si="0"/>
        <v>26370.07</v>
      </c>
      <c r="D11" s="43">
        <f>evaluare!D11</f>
        <v>11046.74</v>
      </c>
      <c r="E11" s="43">
        <f>cal_ISO!D11</f>
        <v>8516.84</v>
      </c>
      <c r="F11" s="48">
        <f>cal_II!D11</f>
        <v>6806.49</v>
      </c>
    </row>
    <row r="12" spans="1:6" s="14" customFormat="1" ht="12.75">
      <c r="A12" s="93">
        <f t="shared" si="1"/>
        <v>6</v>
      </c>
      <c r="B12" s="121" t="s">
        <v>61</v>
      </c>
      <c r="C12" s="5">
        <f>SUM(D12:F12)</f>
        <v>24348.059999999998</v>
      </c>
      <c r="D12" s="43">
        <f>evaluare!D12</f>
        <v>13909.63</v>
      </c>
      <c r="E12" s="43">
        <f>cal_ISO!D12</f>
        <v>6993.51</v>
      </c>
      <c r="F12" s="48">
        <f>cal_II!D12</f>
        <v>3444.92</v>
      </c>
    </row>
    <row r="13" spans="1:6" s="13" customFormat="1" ht="12.75">
      <c r="A13" s="93">
        <f t="shared" si="1"/>
        <v>7</v>
      </c>
      <c r="B13" s="122" t="s">
        <v>51</v>
      </c>
      <c r="C13" s="5">
        <f>SUM(D13:F13)</f>
        <v>55919.5</v>
      </c>
      <c r="D13" s="43">
        <f>evaluare!D13</f>
        <v>32280.55</v>
      </c>
      <c r="E13" s="43">
        <f>cal_ISO!D13</f>
        <v>19249.45</v>
      </c>
      <c r="F13" s="48">
        <f>cal_II!D13</f>
        <v>4389.5</v>
      </c>
    </row>
    <row r="14" spans="1:6" s="14" customFormat="1" ht="12.75">
      <c r="A14" s="93">
        <f t="shared" si="1"/>
        <v>8</v>
      </c>
      <c r="B14" s="9" t="s">
        <v>37</v>
      </c>
      <c r="C14" s="5">
        <f t="shared" si="0"/>
        <v>99376.06</v>
      </c>
      <c r="D14" s="43">
        <f>evaluare!D14</f>
        <v>70169.97</v>
      </c>
      <c r="E14" s="43">
        <f>cal_ISO!D14</f>
        <v>11148.06</v>
      </c>
      <c r="F14" s="48">
        <f>cal_II!D14</f>
        <v>18058.03</v>
      </c>
    </row>
    <row r="15" spans="1:6" s="14" customFormat="1" ht="12.75">
      <c r="A15" s="93">
        <f t="shared" si="1"/>
        <v>9</v>
      </c>
      <c r="B15" s="9" t="s">
        <v>50</v>
      </c>
      <c r="C15" s="5">
        <f t="shared" si="0"/>
        <v>19796.23</v>
      </c>
      <c r="D15" s="43">
        <f>evaluare!D15</f>
        <v>8726.38</v>
      </c>
      <c r="E15" s="43">
        <f>cal_ISO!D15</f>
        <v>4916.23</v>
      </c>
      <c r="F15" s="48">
        <f>cal_II!D15</f>
        <v>6153.62</v>
      </c>
    </row>
    <row r="16" spans="1:6" s="14" customFormat="1" ht="12.75">
      <c r="A16" s="93">
        <f t="shared" si="1"/>
        <v>10</v>
      </c>
      <c r="B16" s="9" t="s">
        <v>38</v>
      </c>
      <c r="C16" s="5">
        <f t="shared" si="0"/>
        <v>25782.379999999997</v>
      </c>
      <c r="D16" s="43">
        <f>evaluare!D16</f>
        <v>7810.34</v>
      </c>
      <c r="E16" s="43">
        <f>cal_ISO!D16</f>
        <v>9970.94</v>
      </c>
      <c r="F16" s="48">
        <f>cal_II!D16</f>
        <v>8001.1</v>
      </c>
    </row>
    <row r="17" spans="1:6" s="14" customFormat="1" ht="12.75">
      <c r="A17" s="93">
        <f t="shared" si="1"/>
        <v>11</v>
      </c>
      <c r="B17" s="9" t="s">
        <v>39</v>
      </c>
      <c r="C17" s="5">
        <f t="shared" si="0"/>
        <v>27417.17</v>
      </c>
      <c r="D17" s="43">
        <f>evaluare!D17</f>
        <v>8581.36</v>
      </c>
      <c r="E17" s="43">
        <f>cal_ISO!D17</f>
        <v>9140.03</v>
      </c>
      <c r="F17" s="48">
        <f>cal_II!D17</f>
        <v>9695.78</v>
      </c>
    </row>
    <row r="18" spans="1:6" s="14" customFormat="1" ht="12.75">
      <c r="A18" s="93">
        <f t="shared" si="1"/>
        <v>12</v>
      </c>
      <c r="B18" s="9" t="s">
        <v>23</v>
      </c>
      <c r="C18" s="5">
        <f>SUM(D18:F18)</f>
        <v>32861.020000000004</v>
      </c>
      <c r="D18" s="43">
        <f>evaluare!D18</f>
        <v>17267.06</v>
      </c>
      <c r="E18" s="43">
        <f>cal_ISO!D18</f>
        <v>10871.09</v>
      </c>
      <c r="F18" s="48">
        <f>cal_II!D18</f>
        <v>4722.87</v>
      </c>
    </row>
    <row r="19" spans="1:6" s="14" customFormat="1" ht="12.75">
      <c r="A19" s="93">
        <f t="shared" si="1"/>
        <v>13</v>
      </c>
      <c r="B19" s="9" t="s">
        <v>14</v>
      </c>
      <c r="C19" s="5">
        <f t="shared" si="0"/>
        <v>40679.77</v>
      </c>
      <c r="D19" s="43">
        <f>evaluare!D19</f>
        <v>13862.89</v>
      </c>
      <c r="E19" s="43">
        <f>cal_ISO!D19</f>
        <v>11148.06</v>
      </c>
      <c r="F19" s="48">
        <f>cal_II!D19</f>
        <v>15668.82</v>
      </c>
    </row>
    <row r="20" spans="1:6" s="14" customFormat="1" ht="12.75">
      <c r="A20" s="93">
        <f t="shared" si="1"/>
        <v>14</v>
      </c>
      <c r="B20" s="9" t="s">
        <v>15</v>
      </c>
      <c r="C20" s="5">
        <f t="shared" si="0"/>
        <v>32592.03</v>
      </c>
      <c r="D20" s="43">
        <f>evaluare!D20</f>
        <v>14614.92</v>
      </c>
      <c r="E20" s="43">
        <f>cal_ISO!D20</f>
        <v>8309.12</v>
      </c>
      <c r="F20" s="48">
        <f>cal_II!D20</f>
        <v>9667.99</v>
      </c>
    </row>
    <row r="21" spans="1:6" s="14" customFormat="1" ht="12.75">
      <c r="A21" s="93">
        <f t="shared" si="1"/>
        <v>15</v>
      </c>
      <c r="B21" s="9" t="s">
        <v>48</v>
      </c>
      <c r="C21" s="5">
        <f t="shared" si="0"/>
        <v>19537.45</v>
      </c>
      <c r="D21" s="43">
        <f>evaluare!D21</f>
        <v>8398.36</v>
      </c>
      <c r="E21" s="43">
        <f>cal_ISO!D21</f>
        <v>4985.47</v>
      </c>
      <c r="F21" s="48">
        <f>cal_II!D21</f>
        <v>6153.62</v>
      </c>
    </row>
    <row r="22" spans="1:6" s="14" customFormat="1" ht="12.75">
      <c r="A22" s="93">
        <f t="shared" si="1"/>
        <v>16</v>
      </c>
      <c r="B22" s="9" t="s">
        <v>40</v>
      </c>
      <c r="C22" s="5">
        <f t="shared" si="0"/>
        <v>25606.760000000002</v>
      </c>
      <c r="D22" s="43">
        <f>evaluare!D22</f>
        <v>10162</v>
      </c>
      <c r="E22" s="43">
        <f>cal_ISO!D22</f>
        <v>9693.97</v>
      </c>
      <c r="F22" s="48">
        <f>cal_II!D22</f>
        <v>5750.79</v>
      </c>
    </row>
    <row r="23" spans="1:6" s="14" customFormat="1" ht="12.75">
      <c r="A23" s="93">
        <f t="shared" si="1"/>
        <v>17</v>
      </c>
      <c r="B23" s="9" t="s">
        <v>16</v>
      </c>
      <c r="C23" s="5">
        <f t="shared" si="0"/>
        <v>26393.88</v>
      </c>
      <c r="D23" s="43">
        <f>evaluare!D23</f>
        <v>7603.76</v>
      </c>
      <c r="E23" s="43">
        <f>cal_ISO!D23</f>
        <v>10455.64</v>
      </c>
      <c r="F23" s="48">
        <f>cal_II!D23</f>
        <v>8334.48</v>
      </c>
    </row>
    <row r="24" spans="1:6" s="14" customFormat="1" ht="18" customHeight="1">
      <c r="A24" s="93">
        <f t="shared" si="1"/>
        <v>18</v>
      </c>
      <c r="B24" s="9" t="s">
        <v>58</v>
      </c>
      <c r="C24" s="5">
        <f t="shared" si="0"/>
        <v>33378.54</v>
      </c>
      <c r="D24" s="43">
        <f>evaluare!D24</f>
        <v>14126.64</v>
      </c>
      <c r="E24" s="43">
        <f>cal_ISO!D24</f>
        <v>9347.76</v>
      </c>
      <c r="F24" s="48">
        <f>cal_II!D24</f>
        <v>9904.14</v>
      </c>
    </row>
    <row r="25" spans="1:6" s="13" customFormat="1" ht="12.75">
      <c r="A25" s="93">
        <f t="shared" si="1"/>
        <v>19</v>
      </c>
      <c r="B25" s="9" t="s">
        <v>49</v>
      </c>
      <c r="C25" s="5">
        <f>SUM(D25:F25)</f>
        <v>34832.49</v>
      </c>
      <c r="D25" s="43">
        <f>evaluare!D25</f>
        <v>14218.46</v>
      </c>
      <c r="E25" s="43">
        <f>cal_ISO!D25</f>
        <v>9070.78</v>
      </c>
      <c r="F25" s="48">
        <f>cal_II!D25</f>
        <v>11543.25</v>
      </c>
    </row>
    <row r="26" spans="1:6" s="14" customFormat="1" ht="12.75">
      <c r="A26" s="93">
        <f t="shared" si="1"/>
        <v>20</v>
      </c>
      <c r="B26" s="9" t="s">
        <v>19</v>
      </c>
      <c r="C26" s="5">
        <f t="shared" si="0"/>
        <v>57370.63999999999</v>
      </c>
      <c r="D26" s="43">
        <f>evaluare!D26</f>
        <v>32635.26</v>
      </c>
      <c r="E26" s="43">
        <f>cal_ISO!D26</f>
        <v>10455.64</v>
      </c>
      <c r="F26" s="48">
        <f>cal_II!D26</f>
        <v>14279.74</v>
      </c>
    </row>
    <row r="27" spans="1:6" s="13" customFormat="1" ht="12.75">
      <c r="A27" s="93">
        <f t="shared" si="1"/>
        <v>21</v>
      </c>
      <c r="B27" s="9" t="s">
        <v>30</v>
      </c>
      <c r="C27" s="5">
        <f t="shared" si="0"/>
        <v>31722.22</v>
      </c>
      <c r="D27" s="43">
        <f>evaluare!D27</f>
        <v>15904.47</v>
      </c>
      <c r="E27" s="43">
        <f>cal_ISO!D27</f>
        <v>5816.38</v>
      </c>
      <c r="F27" s="48">
        <f>cal_II!D27</f>
        <v>10001.37</v>
      </c>
    </row>
    <row r="28" spans="1:6" s="13" customFormat="1" ht="12.75">
      <c r="A28" s="93">
        <f t="shared" si="1"/>
        <v>22</v>
      </c>
      <c r="B28" s="9" t="s">
        <v>41</v>
      </c>
      <c r="C28" s="5">
        <f t="shared" si="0"/>
        <v>28330.609999999997</v>
      </c>
      <c r="D28" s="43">
        <f>evaluare!D28</f>
        <v>15505.5</v>
      </c>
      <c r="E28" s="43">
        <f>cal_ISO!D28</f>
        <v>7824.42</v>
      </c>
      <c r="F28" s="48">
        <f>cal_II!D28</f>
        <v>5000.69</v>
      </c>
    </row>
    <row r="29" spans="1:6" s="13" customFormat="1" ht="12.75">
      <c r="A29" s="93">
        <f t="shared" si="1"/>
        <v>23</v>
      </c>
      <c r="B29" s="9" t="s">
        <v>42</v>
      </c>
      <c r="C29" s="5">
        <f t="shared" si="0"/>
        <v>23112.32</v>
      </c>
      <c r="D29" s="43">
        <f>evaluare!D29</f>
        <v>13751.04</v>
      </c>
      <c r="E29" s="43">
        <f>cal_ISO!D29</f>
        <v>4916.23</v>
      </c>
      <c r="F29" s="48">
        <f>cal_II!D29</f>
        <v>4445.05</v>
      </c>
    </row>
    <row r="30" spans="1:6" s="13" customFormat="1" ht="12.75">
      <c r="A30" s="93">
        <f t="shared" si="1"/>
        <v>24</v>
      </c>
      <c r="B30" s="8" t="s">
        <v>59</v>
      </c>
      <c r="C30" s="5">
        <f>SUM(D30:F30)</f>
        <v>17305.5</v>
      </c>
      <c r="D30" s="43">
        <f>evaluare!D30</f>
        <v>7781.76</v>
      </c>
      <c r="E30" s="43">
        <f>cal_ISO!D30</f>
        <v>6301.08</v>
      </c>
      <c r="F30" s="48">
        <f>cal_II!D30</f>
        <v>3222.66</v>
      </c>
    </row>
    <row r="31" spans="1:6" s="13" customFormat="1" ht="24" customHeight="1">
      <c r="A31" s="93">
        <f t="shared" si="1"/>
        <v>25</v>
      </c>
      <c r="B31" s="9" t="s">
        <v>43</v>
      </c>
      <c r="C31" s="5">
        <f t="shared" si="0"/>
        <v>34489.43</v>
      </c>
      <c r="D31" s="43">
        <f>evaluare!D31</f>
        <v>21582.25</v>
      </c>
      <c r="E31" s="43">
        <f>cal_ISO!D31</f>
        <v>8239.87</v>
      </c>
      <c r="F31" s="48">
        <f>cal_II!D31</f>
        <v>4667.31</v>
      </c>
    </row>
    <row r="32" spans="1:6" s="14" customFormat="1" ht="24" customHeight="1">
      <c r="A32" s="93">
        <f t="shared" si="1"/>
        <v>26</v>
      </c>
      <c r="B32" s="9" t="s">
        <v>44</v>
      </c>
      <c r="C32" s="5">
        <f t="shared" si="0"/>
        <v>76581.63</v>
      </c>
      <c r="D32" s="43">
        <f>evaluare!D32</f>
        <v>51014.5</v>
      </c>
      <c r="E32" s="43">
        <f>cal_ISO!D32</f>
        <v>11009.58</v>
      </c>
      <c r="F32" s="48">
        <f>cal_II!D32</f>
        <v>14557.55</v>
      </c>
    </row>
    <row r="33" spans="1:6" s="14" customFormat="1" ht="12.75">
      <c r="A33" s="93">
        <f t="shared" si="1"/>
        <v>27</v>
      </c>
      <c r="B33" s="9" t="s">
        <v>45</v>
      </c>
      <c r="C33" s="5">
        <f t="shared" si="0"/>
        <v>21638.37</v>
      </c>
      <c r="D33" s="43">
        <f>evaluare!D33</f>
        <v>12928.9</v>
      </c>
      <c r="E33" s="43">
        <f>cal_ISO!D33</f>
        <v>4570.01</v>
      </c>
      <c r="F33" s="48">
        <f>cal_II!D33</f>
        <v>4139.46</v>
      </c>
    </row>
    <row r="34" spans="1:6" s="14" customFormat="1" ht="12.75">
      <c r="A34" s="93">
        <f t="shared" si="1"/>
        <v>28</v>
      </c>
      <c r="B34" s="9" t="s">
        <v>20</v>
      </c>
      <c r="C34" s="5">
        <f t="shared" si="0"/>
        <v>36048.020000000004</v>
      </c>
      <c r="D34" s="43">
        <f>evaluare!D34</f>
        <v>17742.6</v>
      </c>
      <c r="E34" s="43">
        <f>cal_ISO!D34</f>
        <v>9970.94</v>
      </c>
      <c r="F34" s="48">
        <f>cal_II!D34</f>
        <v>8334.48</v>
      </c>
    </row>
    <row r="35" spans="1:6" s="13" customFormat="1" ht="12.75">
      <c r="A35" s="93">
        <f t="shared" si="1"/>
        <v>29</v>
      </c>
      <c r="B35" s="9" t="s">
        <v>17</v>
      </c>
      <c r="C35" s="5">
        <f>SUM(D35:F35)</f>
        <v>48765.280000000006</v>
      </c>
      <c r="D35" s="43">
        <f>evaluare!D35</f>
        <v>25808.77</v>
      </c>
      <c r="E35" s="43">
        <f>cal_ISO!D35</f>
        <v>10732.61</v>
      </c>
      <c r="F35" s="48">
        <f>cal_II!D35</f>
        <v>12223.9</v>
      </c>
    </row>
    <row r="36" spans="1:6" s="14" customFormat="1" ht="12.75">
      <c r="A36" s="93">
        <f t="shared" si="1"/>
        <v>30</v>
      </c>
      <c r="B36" s="9" t="s">
        <v>46</v>
      </c>
      <c r="C36" s="5">
        <f t="shared" si="0"/>
        <v>35745.8</v>
      </c>
      <c r="D36" s="43">
        <f>evaluare!D36</f>
        <v>12964.59</v>
      </c>
      <c r="E36" s="43">
        <f>cal_ISO!D36</f>
        <v>9001.54</v>
      </c>
      <c r="F36" s="48">
        <f>cal_II!D36</f>
        <v>13779.67</v>
      </c>
    </row>
    <row r="37" spans="1:6" s="14" customFormat="1" ht="12.75">
      <c r="A37" s="93">
        <f t="shared" si="1"/>
        <v>31</v>
      </c>
      <c r="B37" s="8" t="s">
        <v>47</v>
      </c>
      <c r="C37" s="5">
        <f t="shared" si="0"/>
        <v>60423.630000000005</v>
      </c>
      <c r="D37" s="43">
        <f>evaluare!D37</f>
        <v>32174.94</v>
      </c>
      <c r="E37" s="43">
        <f>cal_ISO!D37</f>
        <v>10801.85</v>
      </c>
      <c r="F37" s="48">
        <f>cal_II!D37</f>
        <v>17446.84</v>
      </c>
    </row>
    <row r="38" spans="1:6" s="13" customFormat="1" ht="13.5" thickBot="1">
      <c r="A38" s="93">
        <f t="shared" si="1"/>
        <v>32</v>
      </c>
      <c r="B38" s="8" t="s">
        <v>18</v>
      </c>
      <c r="C38" s="5">
        <f t="shared" si="0"/>
        <v>49010.33</v>
      </c>
      <c r="D38" s="43">
        <f>evaluare!D38</f>
        <v>25678.35</v>
      </c>
      <c r="E38" s="43">
        <f>cal_ISO!D38</f>
        <v>10594.12</v>
      </c>
      <c r="F38" s="48">
        <f>cal_II!D38</f>
        <v>12737.86</v>
      </c>
    </row>
    <row r="39" spans="1:6" s="1" customFormat="1" ht="15" customHeight="1" thickBot="1">
      <c r="A39" s="123"/>
      <c r="B39" s="23" t="s">
        <v>3</v>
      </c>
      <c r="C39" s="24">
        <f>SUM(C7:C38)</f>
        <v>1256061.35</v>
      </c>
      <c r="D39" s="24">
        <f>SUM(D7:D38)</f>
        <v>628030.6699999999</v>
      </c>
      <c r="E39" s="24">
        <f>SUM(E7:E38)</f>
        <v>314015.3399999999</v>
      </c>
      <c r="F39" s="50">
        <f>SUM(F7:F38)</f>
        <v>314015.33999999997</v>
      </c>
    </row>
    <row r="40" spans="3:6" s="13" customFormat="1" ht="12.75" hidden="1">
      <c r="C40" s="4" t="e">
        <f>#REF!/0.76</f>
        <v>#REF!</v>
      </c>
      <c r="D40" s="51" t="e">
        <f>#REF!/$C40</f>
        <v>#REF!</v>
      </c>
      <c r="E40" s="51" t="e">
        <f>#REF!/$C40</f>
        <v>#REF!</v>
      </c>
      <c r="F40" s="51" t="e">
        <f>#REF!/$C40</f>
        <v>#REF!</v>
      </c>
    </row>
    <row r="41" spans="3:6" s="13" customFormat="1" ht="12.75">
      <c r="C41" s="4"/>
      <c r="D41" s="51"/>
      <c r="E41" s="51"/>
      <c r="F41" s="51"/>
    </row>
    <row r="42" spans="2:6" s="1" customFormat="1" ht="12.75">
      <c r="B42" s="1" t="s">
        <v>10</v>
      </c>
      <c r="C42" s="4"/>
      <c r="D42" s="4">
        <f>evaluare!C43</f>
        <v>20.87</v>
      </c>
      <c r="E42" s="4">
        <f>cal_ISO!C42</f>
        <v>69.24</v>
      </c>
      <c r="F42" s="4">
        <f>cal_II!C42</f>
        <v>13.89</v>
      </c>
    </row>
  </sheetData>
  <sheetProtection/>
  <mergeCells count="2">
    <mergeCell ref="A4:B4"/>
    <mergeCell ref="A1:F1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2021-05-04T09:18:21Z</cp:lastPrinted>
  <dcterms:created xsi:type="dcterms:W3CDTF">2003-02-20T14:27:52Z</dcterms:created>
  <dcterms:modified xsi:type="dcterms:W3CDTF">2021-06-22T05:42:44Z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