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'cal_II'!$A$1:$D$43</definedName>
    <definedName name="_xlnm.Print_Area" localSheetId="1">'cal_ISO'!$A$1:$E$43</definedName>
    <definedName name="_xlnm.Print_Area" localSheetId="0">'evaluare'!$A$1:$D$44</definedName>
    <definedName name="_xlnm.Print_Area" localSheetId="3">'TOTAL'!$A$1:$F$44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<sst xmlns="http://schemas.openxmlformats.org/spreadsheetml/2006/main" count="172" uniqueCount="61">
  <si>
    <t>Nr.crt.</t>
  </si>
  <si>
    <t>FURNIZOR</t>
  </si>
  <si>
    <t>Fond alocat 1</t>
  </si>
  <si>
    <t>TOTAL</t>
  </si>
  <si>
    <t>VAL.PUNCT=</t>
  </si>
  <si>
    <t>FOND TOTAL ALOCAT LABORATOARE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</si>
  <si>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</si>
  <si>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</si>
  <si>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</si>
  <si>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</si>
  <si>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</si>
  <si>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</si>
  <si>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</si>
  <si>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</si>
  <si>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</si>
  <si>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</si>
  <si>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</si>
  <si>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</si>
  <si>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</si>
  <si>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</si>
  <si>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</si>
  <si>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</si>
  <si>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</si>
  <si>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</si>
  <si>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</si>
  <si>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</si>
  <si>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</si>
  <si>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</si>
  <si>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</si>
  <si>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</si>
  <si>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</si>
  <si>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</si>
  <si>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</si>
  <si>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</si>
  <si>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</si>
  <si>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</si>
  <si>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</si>
  <si>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</si>
  <si>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</si>
  <si>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</si>
  <si>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</si>
  <si>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</si>
  <si>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</si>
  <si>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</si>
  <si>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</si>
  <si>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</si>
  <si>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</si>
  <si>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</si>
  <si>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</si>
  <si>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</si>
  <si>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</si>
  <si>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</si>
  <si>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</si>
  <si>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</si>
  <si>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</si>
  <si>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</si>
  <si>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</si>
  <si>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</si>
  <si>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INSTITUTUL DE PSIHIATRIE SOCOLA</t>
  </si>
  <si>
    <t>29/01/2021</t>
  </si>
  <si>
    <t xml:space="preserve"> TOTAL CRITERII DE SELECTIE  - SERVICII PARACLINICE DE LABORATOR -FEBRUARIE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</si>
</sst>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68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6" fillId="0" borderId="0" xfId="57" applyNumberFormat="1" applyFont="1" applyFill="1" applyAlignment="1">
      <alignment vertical="center"/>
      <protection/>
    </xf>
    <xf numFmtId="0" fontId="0" fillId="0" borderId="0" xfId="57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0" fillId="24" borderId="0" xfId="57" applyNumberFormat="1" applyFont="1" applyFill="1" applyBorder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vertical="center"/>
    </xf>
    <xf numFmtId="0" fontId="0" fillId="24" borderId="1" xfId="0" applyNumberFormat="1" applyFont="1" applyFill="1" applyBorder="1" applyAlignment="1">
      <alignment vertical="center" wrapText="1"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 wrapText="1"/>
      <protection/>
    </xf>
    <xf numFmtId="4" fontId="1" fillId="0" borderId="16" xfId="57" applyNumberFormat="1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0" fontId="1" fillId="0" borderId="18" xfId="57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0" fontId="0" fillId="0" borderId="19" xfId="57" applyFont="1" applyFill="1" applyBorder="1" applyAlignment="1">
      <alignment vertical="center"/>
      <protection/>
    </xf>
    <xf numFmtId="0" fontId="1" fillId="0" borderId="16" xfId="57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1" fillId="0" borderId="0" xfId="57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0" fillId="24" borderId="20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0" fontId="10" fillId="24" borderId="0" xfId="57" applyFont="1" applyFill="1" applyBorder="1" applyAlignment="1">
      <alignment vertical="center"/>
      <protection/>
    </xf>
    <xf numFmtId="0" fontId="12" fillId="24" borderId="0" xfId="57" applyFont="1" applyFill="1" applyAlignment="1">
      <alignment vertical="center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/>
      <protection/>
    </xf>
    <xf numFmtId="1" fontId="4" fillId="0" borderId="17" xfId="57" applyNumberFormat="1" applyFont="1" applyFill="1" applyBorder="1" applyAlignment="1">
      <alignment vertical="center" wrapText="1"/>
      <protection/>
    </xf>
    <xf numFmtId="1" fontId="4" fillId="0" borderId="18" xfId="57" applyNumberFormat="1" applyFont="1" applyFill="1" applyBorder="1" applyAlignment="1">
      <alignment horizontal="center" vertical="center" wrapText="1"/>
      <protection/>
    </xf>
    <xf numFmtId="3" fontId="4" fillId="0" borderId="18" xfId="57" applyNumberFormat="1" applyFont="1" applyFill="1" applyBorder="1" applyAlignment="1">
      <alignment horizontal="center" vertical="center" wrapText="1"/>
      <protection/>
    </xf>
    <xf numFmtId="0" fontId="1" fillId="0" borderId="21" xfId="57" applyFont="1" applyFill="1" applyBorder="1" applyAlignment="1">
      <alignment vertical="center" wrapText="1"/>
      <protection/>
    </xf>
    <xf numFmtId="0" fontId="1" fillId="0" borderId="22" xfId="57" applyFont="1" applyFill="1" applyBorder="1" applyAlignment="1">
      <alignment vertical="center"/>
      <protection/>
    </xf>
    <xf numFmtId="0" fontId="0" fillId="0" borderId="20" xfId="0" applyNumberFormat="1" applyFont="1" applyFill="1" applyBorder="1" applyAlignment="1">
      <alignment vertical="center"/>
    </xf>
    <xf numFmtId="1" fontId="1" fillId="0" borderId="17" xfId="57" applyNumberFormat="1" applyFont="1" applyFill="1" applyBorder="1" applyAlignment="1">
      <alignment vertical="center"/>
      <protection/>
    </xf>
    <xf numFmtId="1" fontId="1" fillId="0" borderId="18" xfId="57" applyNumberFormat="1" applyFont="1" applyFill="1" applyBorder="1" applyAlignment="1">
      <alignment horizontal="center" vertical="center"/>
      <protection/>
    </xf>
    <xf numFmtId="4" fontId="10" fillId="24" borderId="0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 wrapText="1"/>
      <protection/>
    </xf>
    <xf numFmtId="3" fontId="1" fillId="0" borderId="18" xfId="57" applyNumberFormat="1" applyFont="1" applyFill="1" applyBorder="1" applyAlignment="1">
      <alignment horizontal="center" vertical="center"/>
      <protection/>
    </xf>
    <xf numFmtId="4" fontId="1" fillId="0" borderId="23" xfId="57" applyNumberFormat="1" applyFont="1" applyFill="1" applyBorder="1" applyAlignment="1">
      <alignment horizontal="center" vertical="center"/>
      <protection/>
    </xf>
    <xf numFmtId="1" fontId="4" fillId="0" borderId="24" xfId="57" applyNumberFormat="1" applyFont="1" applyFill="1" applyBorder="1" applyAlignment="1">
      <alignment horizontal="center" vertical="center" wrapText="1"/>
      <protection/>
    </xf>
    <xf numFmtId="4" fontId="1" fillId="0" borderId="25" xfId="57" applyNumberFormat="1" applyFont="1" applyFill="1" applyBorder="1" applyAlignment="1">
      <alignment vertical="center"/>
      <protection/>
    </xf>
    <xf numFmtId="3" fontId="1" fillId="0" borderId="26" xfId="57" applyNumberFormat="1" applyFont="1" applyFill="1" applyBorder="1" applyAlignment="1">
      <alignment horizontal="center" vertical="center"/>
      <protection/>
    </xf>
    <xf numFmtId="4" fontId="1" fillId="0" borderId="22" xfId="57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12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1" fillId="0" borderId="24" xfId="57" applyNumberFormat="1" applyFont="1" applyFill="1" applyBorder="1" applyAlignment="1">
      <alignment horizontal="center" vertical="center" wrapText="1"/>
      <protection/>
    </xf>
    <xf numFmtId="4" fontId="1" fillId="0" borderId="28" xfId="57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" xfId="58" applyNumberFormat="1" applyFont="1" applyFill="1" applyBorder="1" applyAlignment="1">
      <alignment horizontal="center" vertical="center" wrapText="1"/>
      <protection/>
    </xf>
    <xf numFmtId="1" fontId="4" fillId="0" borderId="1" xfId="57" applyNumberFormat="1" applyFont="1" applyFill="1" applyBorder="1" applyAlignment="1">
      <alignment horizontal="center" vertical="center" wrapText="1"/>
      <protection/>
    </xf>
    <xf numFmtId="1" fontId="4" fillId="0" borderId="0" xfId="57" applyNumberFormat="1" applyFont="1" applyFill="1" applyAlignment="1">
      <alignment horizontal="center" vertical="center" wrapText="1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0" borderId="30" xfId="57" applyNumberFormat="1" applyFont="1" applyFill="1" applyBorder="1" applyAlignment="1">
      <alignment horizontal="right" vertical="center"/>
      <protection/>
    </xf>
    <xf numFmtId="4" fontId="1" fillId="0" borderId="31" xfId="57" applyNumberFormat="1" applyFont="1" applyFill="1" applyBorder="1" applyAlignment="1">
      <alignment horizontal="center" vertical="center" wrapText="1"/>
      <protection/>
    </xf>
    <xf numFmtId="1" fontId="4" fillId="0" borderId="25" xfId="57" applyNumberFormat="1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vertical="center"/>
      <protection/>
    </xf>
    <xf numFmtId="0" fontId="1" fillId="0" borderId="17" xfId="57" applyFont="1" applyFill="1" applyBorder="1" applyAlignment="1">
      <alignment vertical="center"/>
      <protection/>
    </xf>
    <xf numFmtId="0" fontId="1" fillId="0" borderId="18" xfId="57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4" fontId="32" fillId="0" borderId="1" xfId="57" applyNumberFormat="1" applyFont="1" applyFill="1" applyBorder="1" applyAlignment="1">
      <alignment vertical="center"/>
      <protection/>
    </xf>
    <xf numFmtId="4" fontId="33" fillId="20" borderId="1" xfId="57" applyNumberFormat="1" applyFont="1" applyFill="1" applyBorder="1" applyAlignment="1">
      <alignment vertical="center"/>
      <protection/>
    </xf>
    <xf numFmtId="4" fontId="32" fillId="0" borderId="29" xfId="57" applyNumberFormat="1" applyFont="1" applyFill="1" applyBorder="1" applyAlignment="1">
      <alignment vertical="center"/>
      <protection/>
    </xf>
    <xf numFmtId="0" fontId="13" fillId="24" borderId="29" xfId="0" applyNumberFormat="1" applyFont="1" applyFill="1" applyBorder="1" applyAlignment="1">
      <alignment vertical="center" wrapText="1"/>
    </xf>
    <xf numFmtId="0" fontId="13" fillId="24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2" fontId="13" fillId="24" borderId="1" xfId="59" applyNumberFormat="1" applyFont="1" applyFill="1" applyBorder="1" applyAlignment="1">
      <alignment vertical="center" wrapText="1"/>
      <protection/>
    </xf>
    <xf numFmtId="4" fontId="1" fillId="0" borderId="23" xfId="57" applyNumberFormat="1" applyFont="1" applyFill="1" applyBorder="1" applyAlignment="1">
      <alignment horizontal="center" vertical="center" wrapText="1"/>
      <protection/>
    </xf>
    <xf numFmtId="1" fontId="1" fillId="0" borderId="24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0" fillId="24" borderId="33" xfId="57" applyNumberFormat="1" applyFont="1" applyFill="1" applyBorder="1" applyAlignment="1">
      <alignment vertical="center" wrapText="1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vertical="center"/>
      <protection/>
    </xf>
    <xf numFmtId="4" fontId="1" fillId="0" borderId="35" xfId="57" applyNumberFormat="1" applyFont="1" applyFill="1" applyBorder="1" applyAlignment="1">
      <alignment horizontal="center" vertical="center"/>
      <protection/>
    </xf>
    <xf numFmtId="1" fontId="1" fillId="0" borderId="35" xfId="57" applyNumberFormat="1" applyFont="1" applyFill="1" applyBorder="1" applyAlignment="1">
      <alignment horizontal="center" vertical="center" wrapText="1"/>
      <protection/>
    </xf>
    <xf numFmtId="4" fontId="0" fillId="0" borderId="36" xfId="57" applyNumberFormat="1" applyFont="1" applyFill="1" applyBorder="1" applyAlignment="1">
      <alignment vertical="center"/>
      <protection/>
    </xf>
    <xf numFmtId="4" fontId="0" fillId="0" borderId="37" xfId="57" applyNumberFormat="1" applyFont="1" applyFill="1" applyBorder="1" applyAlignment="1">
      <alignment vertical="center"/>
      <protection/>
    </xf>
    <xf numFmtId="4" fontId="1" fillId="0" borderId="38" xfId="57" applyNumberFormat="1" applyFont="1" applyFill="1" applyBorder="1" applyAlignment="1">
      <alignment vertical="center"/>
      <protection/>
    </xf>
    <xf numFmtId="3" fontId="14" fillId="24" borderId="1" xfId="0" applyFont="1" applyFill="1" applyBorder="1" applyAlignment="1">
      <alignment vertical="center" wrapText="1"/>
    </xf>
    <xf numFmtId="4" fontId="10" fillId="0" borderId="25" xfId="57" applyNumberFormat="1" applyFont="1" applyFill="1" applyBorder="1" applyAlignment="1">
      <alignment vertical="center"/>
      <protection/>
    </xf>
    <xf numFmtId="4" fontId="10" fillId="0" borderId="1" xfId="57" applyNumberFormat="1" applyFont="1" applyFill="1" applyBorder="1" applyAlignment="1">
      <alignment vertical="center"/>
      <protection/>
    </xf>
    <xf numFmtId="4" fontId="33" fillId="21" borderId="1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9" xfId="57" applyNumberFormat="1" applyFont="1" applyFill="1" applyBorder="1" applyAlignment="1">
      <alignment horizontal="center" vertical="center"/>
      <protection/>
    </xf>
    <xf numFmtId="4" fontId="1" fillId="0" borderId="4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PageLayoutView="0" workbookViewId="0" topLeftCell="A1">
      <selection activeCell="A45" sqref="A45:IV47"/>
    </sheetView>
  </sheetViews>
  <sheetFormatPr defaultColWidth="9.140625" defaultRowHeight="12.75"/>
  <cols>
    <col min="1" max="1" width="3.7109375" style="1" customWidth="1"/>
    <col min="2" max="2" width="54.00390625" style="43" customWidth="1"/>
    <col min="3" max="3" width="20.8515625" style="44" customWidth="1"/>
    <col min="4" max="4" width="20.8515625" style="45" customWidth="1"/>
    <col min="5" max="16384" width="9.140625" style="1" customWidth="1"/>
  </cols>
  <sheetData>
    <row r="1" spans="1:4" s="16" customFormat="1" ht="14.25" customHeight="1">
      <c r="A1" s="161" t="s">
        <v>24</v>
      </c>
      <c r="B1" s="161"/>
      <c r="C1" s="161"/>
      <c r="D1" s="161"/>
    </row>
    <row r="2" spans="2:4" s="2" customFormat="1" ht="15">
      <c r="B2" s="30"/>
      <c r="C2" s="19"/>
      <c r="D2" s="18"/>
    </row>
    <row r="3" spans="2:4" s="2" customFormat="1" ht="15">
      <c r="B3" s="30"/>
      <c r="C3" s="19"/>
      <c r="D3" s="5" t="s">
        <v>6</v>
      </c>
    </row>
    <row r="4" spans="1:3" s="2" customFormat="1" ht="36" customHeight="1" thickBot="1">
      <c r="A4" s="159" t="s">
        <v>59</v>
      </c>
      <c r="B4" s="160"/>
      <c r="C4" s="19"/>
    </row>
    <row r="5" spans="1:4" s="31" customFormat="1" ht="27" thickBot="1">
      <c r="A5" s="87" t="s">
        <v>0</v>
      </c>
      <c r="B5" s="88" t="s">
        <v>1</v>
      </c>
      <c r="C5" s="104" t="s">
        <v>54</v>
      </c>
      <c r="D5" s="100" t="s">
        <v>2</v>
      </c>
    </row>
    <row r="6" spans="1:4" s="46" customFormat="1" ht="21" thickBot="1">
      <c r="A6" s="89">
        <v>0</v>
      </c>
      <c r="B6" s="90">
        <v>1</v>
      </c>
      <c r="C6" s="91">
        <v>2</v>
      </c>
      <c r="D6" s="101" t="s">
        <v>9</v>
      </c>
    </row>
    <row r="7" spans="1:8" s="83" customFormat="1" ht="18" customHeight="1">
      <c r="A7" s="82">
        <v>1</v>
      </c>
      <c r="B7" s="139" t="s">
        <v>11</v>
      </c>
      <c r="C7" s="138">
        <f>859.32+25.2+4.8+30-12.5-15</f>
        <v>891.82</v>
      </c>
      <c r="D7" s="128">
        <f aca="true" t="shared" si="0" ref="D7:D13">ROUND(C7/C$39*C$40,2)</f>
        <v>18706.2</v>
      </c>
      <c r="E7" s="48"/>
      <c r="F7" s="48"/>
      <c r="G7" s="48"/>
      <c r="H7" s="48"/>
    </row>
    <row r="8" spans="1:8" s="83" customFormat="1" ht="18" customHeight="1">
      <c r="A8" s="84">
        <f>A7+1</f>
        <v>2</v>
      </c>
      <c r="B8" s="140" t="s">
        <v>55</v>
      </c>
      <c r="C8" s="136">
        <v>1210.6</v>
      </c>
      <c r="D8" s="112">
        <f t="shared" si="0"/>
        <v>25392.72</v>
      </c>
      <c r="E8" s="48"/>
      <c r="F8" s="48"/>
      <c r="G8" s="48"/>
      <c r="H8" s="48"/>
    </row>
    <row r="9" spans="1:8" s="83" customFormat="1" ht="18" customHeight="1">
      <c r="A9" s="84">
        <f aca="true" t="shared" si="1" ref="A9:A38">A8+1</f>
        <v>3</v>
      </c>
      <c r="B9" s="140" t="s">
        <v>36</v>
      </c>
      <c r="C9" s="136">
        <v>736.1</v>
      </c>
      <c r="D9" s="114">
        <f t="shared" si="0"/>
        <v>15439.93</v>
      </c>
      <c r="E9" s="48"/>
      <c r="F9" s="48"/>
      <c r="G9" s="48"/>
      <c r="H9" s="48"/>
    </row>
    <row r="10" spans="1:8" s="50" customFormat="1" ht="63" customHeight="1">
      <c r="A10" s="84">
        <f t="shared" si="1"/>
        <v>4</v>
      </c>
      <c r="B10" s="141" t="s">
        <v>12</v>
      </c>
      <c r="C10" s="158">
        <f>1392+57-40+40+15</f>
        <v>1464</v>
      </c>
      <c r="D10" s="114">
        <f t="shared" si="0"/>
        <v>30707.86</v>
      </c>
      <c r="E10" s="51"/>
      <c r="F10" s="51"/>
      <c r="G10" s="51"/>
      <c r="H10" s="51"/>
    </row>
    <row r="11" spans="1:8" s="83" customFormat="1" ht="18" customHeight="1">
      <c r="A11" s="84">
        <f t="shared" si="1"/>
        <v>5</v>
      </c>
      <c r="B11" s="140" t="s">
        <v>13</v>
      </c>
      <c r="C11" s="136">
        <f>509.4+20</f>
        <v>529.4</v>
      </c>
      <c r="D11" s="114">
        <f t="shared" si="0"/>
        <v>11104.33</v>
      </c>
      <c r="E11" s="48"/>
      <c r="F11" s="48"/>
      <c r="G11" s="48"/>
      <c r="H11" s="48"/>
    </row>
    <row r="12" spans="1:8" s="83" customFormat="1" ht="18" customHeight="1">
      <c r="A12" s="84">
        <f t="shared" si="1"/>
        <v>6</v>
      </c>
      <c r="B12" s="155" t="s">
        <v>58</v>
      </c>
      <c r="C12" s="136">
        <f>666.6</f>
        <v>666.6</v>
      </c>
      <c r="D12" s="114">
        <f t="shared" si="0"/>
        <v>13982.14</v>
      </c>
      <c r="E12" s="48"/>
      <c r="F12" s="48"/>
      <c r="G12" s="48"/>
      <c r="H12" s="48"/>
    </row>
    <row r="13" spans="1:8" s="50" customFormat="1" ht="18" customHeight="1">
      <c r="A13" s="84">
        <f t="shared" si="1"/>
        <v>7</v>
      </c>
      <c r="B13" s="142" t="s">
        <v>51</v>
      </c>
      <c r="C13" s="136">
        <v>1547</v>
      </c>
      <c r="D13" s="114">
        <f t="shared" si="0"/>
        <v>32448.81</v>
      </c>
      <c r="E13" s="51"/>
      <c r="F13" s="51"/>
      <c r="G13" s="51"/>
      <c r="H13" s="51"/>
    </row>
    <row r="14" spans="1:8" s="83" customFormat="1" ht="42.75" customHeight="1">
      <c r="A14" s="84">
        <f t="shared" si="1"/>
        <v>8</v>
      </c>
      <c r="B14" s="140" t="s">
        <v>37</v>
      </c>
      <c r="C14" s="137">
        <f>3330.8+34-40-15+24-40+30+20+15-4+8</f>
        <v>3362.8</v>
      </c>
      <c r="D14" s="114">
        <f>ROUND(C14/C$39*C$40,2)+0.01</f>
        <v>70535.79999999999</v>
      </c>
      <c r="E14" s="48"/>
      <c r="F14" s="48"/>
      <c r="G14" s="48"/>
      <c r="H14" s="48"/>
    </row>
    <row r="15" spans="1:8" s="50" customFormat="1" ht="18" customHeight="1">
      <c r="A15" s="84">
        <f t="shared" si="1"/>
        <v>9</v>
      </c>
      <c r="B15" s="140" t="s">
        <v>50</v>
      </c>
      <c r="C15" s="136">
        <f>428.2-10</f>
        <v>418.2</v>
      </c>
      <c r="D15" s="114">
        <f aca="true" t="shared" si="2" ref="D15:D38">ROUND(C15/C$39*C$40,2)</f>
        <v>8771.88</v>
      </c>
      <c r="E15" s="51"/>
      <c r="F15" s="51"/>
      <c r="G15" s="51"/>
      <c r="H15" s="51"/>
    </row>
    <row r="16" spans="1:8" s="83" customFormat="1" ht="18" customHeight="1">
      <c r="A16" s="84">
        <f t="shared" si="1"/>
        <v>10</v>
      </c>
      <c r="B16" s="140" t="s">
        <v>38</v>
      </c>
      <c r="C16" s="136">
        <v>374.3</v>
      </c>
      <c r="D16" s="114">
        <f t="shared" si="2"/>
        <v>7851.06</v>
      </c>
      <c r="E16" s="48"/>
      <c r="F16" s="48"/>
      <c r="G16" s="48"/>
      <c r="H16" s="48"/>
    </row>
    <row r="17" spans="1:8" s="83" customFormat="1" ht="18" customHeight="1">
      <c r="A17" s="84">
        <f t="shared" si="1"/>
        <v>11</v>
      </c>
      <c r="B17" s="140" t="s">
        <v>39</v>
      </c>
      <c r="C17" s="136">
        <f>370.25+41</f>
        <v>411.25</v>
      </c>
      <c r="D17" s="114">
        <f t="shared" si="2"/>
        <v>8626.1</v>
      </c>
      <c r="E17" s="48"/>
      <c r="F17" s="48"/>
      <c r="G17" s="48"/>
      <c r="H17" s="48"/>
    </row>
    <row r="18" spans="1:8" s="83" customFormat="1" ht="18" customHeight="1">
      <c r="A18" s="84">
        <f t="shared" si="1"/>
        <v>12</v>
      </c>
      <c r="B18" s="140" t="s">
        <v>23</v>
      </c>
      <c r="C18" s="136">
        <f>847.5-30-45+40+40-25-15+15</f>
        <v>827.5</v>
      </c>
      <c r="D18" s="114">
        <f t="shared" si="2"/>
        <v>17357.07</v>
      </c>
      <c r="E18" s="48"/>
      <c r="F18" s="48"/>
      <c r="G18" s="48"/>
      <c r="H18" s="48"/>
    </row>
    <row r="19" spans="1:8" s="83" customFormat="1" ht="18" customHeight="1">
      <c r="A19" s="84">
        <f t="shared" si="1"/>
        <v>13</v>
      </c>
      <c r="B19" s="140" t="s">
        <v>14</v>
      </c>
      <c r="C19" s="136">
        <f>684.36-20</f>
        <v>664.36</v>
      </c>
      <c r="D19" s="114">
        <f t="shared" si="2"/>
        <v>13935.16</v>
      </c>
      <c r="E19" s="48"/>
      <c r="F19" s="48"/>
      <c r="G19" s="48"/>
      <c r="H19" s="48"/>
    </row>
    <row r="20" spans="1:8" s="83" customFormat="1" ht="18" customHeight="1">
      <c r="A20" s="84">
        <f t="shared" si="1"/>
        <v>14</v>
      </c>
      <c r="B20" s="140" t="s">
        <v>15</v>
      </c>
      <c r="C20" s="136">
        <f>560.4+45+110-15</f>
        <v>700.4</v>
      </c>
      <c r="D20" s="114">
        <f t="shared" si="2"/>
        <v>14691.11</v>
      </c>
      <c r="E20" s="48"/>
      <c r="F20" s="48"/>
      <c r="G20" s="48"/>
      <c r="H20" s="48"/>
    </row>
    <row r="21" spans="1:8" s="50" customFormat="1" ht="18" customHeight="1">
      <c r="A21" s="84">
        <f t="shared" si="1"/>
        <v>15</v>
      </c>
      <c r="B21" s="140" t="s">
        <v>48</v>
      </c>
      <c r="C21" s="136">
        <f>387.48+15</f>
        <v>402.48</v>
      </c>
      <c r="D21" s="114">
        <f t="shared" si="2"/>
        <v>8442.14</v>
      </c>
      <c r="E21" s="51"/>
      <c r="F21" s="51"/>
      <c r="G21" s="51"/>
      <c r="H21" s="51"/>
    </row>
    <row r="22" spans="1:8" s="83" customFormat="1" ht="18" customHeight="1">
      <c r="A22" s="84">
        <f t="shared" si="1"/>
        <v>16</v>
      </c>
      <c r="B22" s="140" t="s">
        <v>40</v>
      </c>
      <c r="C22" s="136">
        <v>487</v>
      </c>
      <c r="D22" s="114">
        <f t="shared" si="2"/>
        <v>10214.98</v>
      </c>
      <c r="E22" s="48"/>
      <c r="F22" s="48"/>
      <c r="G22" s="48"/>
      <c r="H22" s="48"/>
    </row>
    <row r="23" spans="1:8" s="85" customFormat="1" ht="18" customHeight="1">
      <c r="A23" s="84">
        <f t="shared" si="1"/>
        <v>17</v>
      </c>
      <c r="B23" s="140" t="s">
        <v>16</v>
      </c>
      <c r="C23" s="136">
        <v>364.4</v>
      </c>
      <c r="D23" s="114">
        <f t="shared" si="2"/>
        <v>7643.4</v>
      </c>
      <c r="E23" s="97"/>
      <c r="F23" s="97"/>
      <c r="G23" s="97"/>
      <c r="H23" s="97"/>
    </row>
    <row r="24" spans="1:8" s="83" customFormat="1" ht="18" customHeight="1">
      <c r="A24" s="84">
        <f t="shared" si="1"/>
        <v>18</v>
      </c>
      <c r="B24" s="140" t="s">
        <v>56</v>
      </c>
      <c r="C24" s="136">
        <f>677-10+10</f>
        <v>677</v>
      </c>
      <c r="D24" s="114">
        <f t="shared" si="2"/>
        <v>14200.29</v>
      </c>
      <c r="E24" s="48"/>
      <c r="F24" s="48"/>
      <c r="G24" s="48"/>
      <c r="H24" s="48"/>
    </row>
    <row r="25" spans="1:8" s="50" customFormat="1" ht="18" customHeight="1">
      <c r="A25" s="84">
        <f t="shared" si="1"/>
        <v>19</v>
      </c>
      <c r="B25" s="140" t="s">
        <v>49</v>
      </c>
      <c r="C25" s="136">
        <v>681.4</v>
      </c>
      <c r="D25" s="114">
        <f t="shared" si="2"/>
        <v>14292.58</v>
      </c>
      <c r="E25" s="51"/>
      <c r="F25" s="51"/>
      <c r="G25" s="51"/>
      <c r="H25" s="51"/>
    </row>
    <row r="26" spans="1:8" s="50" customFormat="1" ht="24" customHeight="1">
      <c r="A26" s="84">
        <f t="shared" si="1"/>
        <v>20</v>
      </c>
      <c r="B26" s="140" t="s">
        <v>19</v>
      </c>
      <c r="C26" s="158">
        <f>1391+15</f>
        <v>1406</v>
      </c>
      <c r="D26" s="114">
        <f t="shared" si="2"/>
        <v>29491.29</v>
      </c>
      <c r="E26" s="51"/>
      <c r="F26" s="51"/>
      <c r="G26" s="51"/>
      <c r="H26" s="51"/>
    </row>
    <row r="27" spans="1:8" s="50" customFormat="1" ht="18" customHeight="1">
      <c r="A27" s="84">
        <f t="shared" si="1"/>
        <v>21</v>
      </c>
      <c r="B27" s="140" t="s">
        <v>30</v>
      </c>
      <c r="C27" s="136">
        <v>762.2</v>
      </c>
      <c r="D27" s="114">
        <f t="shared" si="2"/>
        <v>15987.38</v>
      </c>
      <c r="E27" s="51"/>
      <c r="F27" s="51"/>
      <c r="G27" s="51"/>
      <c r="H27" s="51"/>
    </row>
    <row r="28" spans="1:8" s="50" customFormat="1" ht="18" customHeight="1">
      <c r="A28" s="84">
        <f t="shared" si="1"/>
        <v>22</v>
      </c>
      <c r="B28" s="140" t="s">
        <v>41</v>
      </c>
      <c r="C28" s="136">
        <v>743.08</v>
      </c>
      <c r="D28" s="114">
        <f t="shared" si="2"/>
        <v>15586.34</v>
      </c>
      <c r="E28" s="51"/>
      <c r="F28" s="51"/>
      <c r="G28" s="51"/>
      <c r="H28" s="51"/>
    </row>
    <row r="29" spans="1:8" s="50" customFormat="1" ht="18" customHeight="1">
      <c r="A29" s="84">
        <f t="shared" si="1"/>
        <v>23</v>
      </c>
      <c r="B29" s="140" t="s">
        <v>42</v>
      </c>
      <c r="C29" s="136">
        <f>699-40</f>
        <v>659</v>
      </c>
      <c r="D29" s="114">
        <f t="shared" si="2"/>
        <v>13822.73</v>
      </c>
      <c r="E29" s="51"/>
      <c r="F29" s="51"/>
      <c r="G29" s="51"/>
      <c r="H29" s="51"/>
    </row>
    <row r="30" spans="1:8" s="3" customFormat="1" ht="18" customHeight="1">
      <c r="A30" s="84">
        <f t="shared" si="1"/>
        <v>24</v>
      </c>
      <c r="B30" s="141" t="s">
        <v>57</v>
      </c>
      <c r="C30" s="136">
        <v>372.92999999999995</v>
      </c>
      <c r="D30" s="114">
        <f t="shared" si="2"/>
        <v>7822.32</v>
      </c>
      <c r="E30" s="8"/>
      <c r="F30" s="8"/>
      <c r="G30" s="8"/>
      <c r="H30" s="8"/>
    </row>
    <row r="31" spans="1:8" s="50" customFormat="1" ht="18" customHeight="1">
      <c r="A31" s="84">
        <f t="shared" si="1"/>
        <v>25</v>
      </c>
      <c r="B31" s="140" t="s">
        <v>43</v>
      </c>
      <c r="C31" s="137">
        <f>1024.3+10</f>
        <v>1034.3</v>
      </c>
      <c r="D31" s="114">
        <f t="shared" si="2"/>
        <v>21694.77</v>
      </c>
      <c r="E31" s="51"/>
      <c r="F31" s="51"/>
      <c r="G31" s="51"/>
      <c r="H31" s="51"/>
    </row>
    <row r="32" spans="1:8" s="50" customFormat="1" ht="30" customHeight="1">
      <c r="A32" s="84">
        <f t="shared" si="1"/>
        <v>26</v>
      </c>
      <c r="B32" s="140" t="s">
        <v>44</v>
      </c>
      <c r="C32" s="158">
        <f>2320.6+15+30+49.2+30</f>
        <v>2444.7999999999997</v>
      </c>
      <c r="D32" s="114">
        <f t="shared" si="2"/>
        <v>51280.45</v>
      </c>
      <c r="E32" s="51"/>
      <c r="F32" s="51"/>
      <c r="G32" s="51"/>
      <c r="H32" s="51"/>
    </row>
    <row r="33" spans="1:8" s="50" customFormat="1" ht="18" customHeight="1">
      <c r="A33" s="84">
        <f t="shared" si="1"/>
        <v>27</v>
      </c>
      <c r="B33" s="140" t="s">
        <v>45</v>
      </c>
      <c r="C33" s="136">
        <f>584.7+2.5+32.4</f>
        <v>619.6</v>
      </c>
      <c r="D33" s="114">
        <f t="shared" si="2"/>
        <v>12996.3</v>
      </c>
      <c r="E33" s="51"/>
      <c r="F33" s="51"/>
      <c r="G33" s="51"/>
      <c r="H33" s="51"/>
    </row>
    <row r="34" spans="1:8" s="86" customFormat="1" ht="18" customHeight="1">
      <c r="A34" s="84">
        <f t="shared" si="1"/>
        <v>28</v>
      </c>
      <c r="B34" s="140" t="s">
        <v>20</v>
      </c>
      <c r="C34" s="136">
        <f>865.29-15</f>
        <v>850.29</v>
      </c>
      <c r="D34" s="114">
        <f t="shared" si="2"/>
        <v>17835.1</v>
      </c>
      <c r="E34" s="118"/>
      <c r="F34" s="118"/>
      <c r="G34" s="118"/>
      <c r="H34" s="118"/>
    </row>
    <row r="35" spans="1:8" s="50" customFormat="1" ht="19.5" customHeight="1">
      <c r="A35" s="84">
        <f t="shared" si="1"/>
        <v>29</v>
      </c>
      <c r="B35" s="140" t="s">
        <v>17</v>
      </c>
      <c r="C35" s="136">
        <f>929.85+15+152+115</f>
        <v>1211.85</v>
      </c>
      <c r="D35" s="114">
        <f t="shared" si="2"/>
        <v>25418.93</v>
      </c>
      <c r="E35" s="51"/>
      <c r="F35" s="51"/>
      <c r="G35" s="51"/>
      <c r="H35" s="51"/>
    </row>
    <row r="36" spans="1:8" s="33" customFormat="1" ht="18" customHeight="1">
      <c r="A36" s="84">
        <f t="shared" si="1"/>
        <v>30</v>
      </c>
      <c r="B36" s="140" t="s">
        <v>46</v>
      </c>
      <c r="C36" s="136">
        <v>621.31</v>
      </c>
      <c r="D36" s="114">
        <f t="shared" si="2"/>
        <v>13032.17</v>
      </c>
      <c r="E36" s="119"/>
      <c r="F36" s="119"/>
      <c r="G36" s="119"/>
      <c r="H36" s="119"/>
    </row>
    <row r="37" spans="1:8" s="32" customFormat="1" ht="20.25" customHeight="1">
      <c r="A37" s="84">
        <f t="shared" si="1"/>
        <v>31</v>
      </c>
      <c r="B37" s="141" t="s">
        <v>47</v>
      </c>
      <c r="C37" s="136">
        <f>1549.14-7.2</f>
        <v>1541.94</v>
      </c>
      <c r="D37" s="114">
        <f t="shared" si="2"/>
        <v>32342.68</v>
      </c>
      <c r="E37" s="117"/>
      <c r="F37" s="117"/>
      <c r="G37" s="117"/>
      <c r="H37" s="117"/>
    </row>
    <row r="38" spans="1:8" s="32" customFormat="1" ht="18" customHeight="1">
      <c r="A38" s="84">
        <f t="shared" si="1"/>
        <v>32</v>
      </c>
      <c r="B38" s="141" t="s">
        <v>18</v>
      </c>
      <c r="C38" s="136">
        <v>1230.6</v>
      </c>
      <c r="D38" s="114">
        <f t="shared" si="2"/>
        <v>25812.22</v>
      </c>
      <c r="E38" s="117"/>
      <c r="F38" s="117"/>
      <c r="G38" s="117"/>
      <c r="H38" s="117"/>
    </row>
    <row r="39" spans="1:8" ht="18" customHeight="1">
      <c r="A39" s="34"/>
      <c r="B39" s="47" t="s">
        <v>3</v>
      </c>
      <c r="C39" s="9">
        <f>SUM(C7:C38)</f>
        <v>29914.51</v>
      </c>
      <c r="D39" s="9">
        <f>SUM(D7:D38)</f>
        <v>627466.2400000001</v>
      </c>
      <c r="E39" s="45"/>
      <c r="F39" s="45"/>
      <c r="G39" s="45"/>
      <c r="H39" s="45"/>
    </row>
    <row r="40" spans="1:8" ht="12.75">
      <c r="A40" s="34"/>
      <c r="B40" s="36" t="s">
        <v>21</v>
      </c>
      <c r="C40" s="49">
        <f>C41*0.5-0.01</f>
        <v>627466.24</v>
      </c>
      <c r="D40" s="102"/>
      <c r="E40" s="45"/>
      <c r="F40" s="45"/>
      <c r="G40" s="45"/>
      <c r="H40" s="45"/>
    </row>
    <row r="41" spans="1:4" ht="13.5" thickBot="1">
      <c r="A41" s="37"/>
      <c r="B41" s="22" t="s">
        <v>5</v>
      </c>
      <c r="C41" s="111">
        <v>1254932.5</v>
      </c>
      <c r="D41" s="103"/>
    </row>
    <row r="42" spans="1:4" ht="12.75">
      <c r="A42" s="32"/>
      <c r="B42" s="38"/>
      <c r="C42" s="35"/>
      <c r="D42" s="39"/>
    </row>
    <row r="43" spans="2:4" s="32" customFormat="1" ht="12.75">
      <c r="B43" s="38" t="s">
        <v>4</v>
      </c>
      <c r="C43" s="35">
        <f>ROUND(C40/C39,2)</f>
        <v>20.98</v>
      </c>
      <c r="D43" s="39"/>
    </row>
    <row r="44" spans="2:4" s="32" customFormat="1" ht="12.75">
      <c r="B44" s="38"/>
      <c r="C44" s="35"/>
      <c r="D44" s="39"/>
    </row>
    <row r="45" spans="2:4" ht="12.75">
      <c r="B45" s="40"/>
      <c r="C45" s="41"/>
      <c r="D45" s="42"/>
    </row>
    <row r="46" spans="2:4" ht="12.75">
      <c r="B46" s="40"/>
      <c r="C46" s="41"/>
      <c r="D46" s="42"/>
    </row>
    <row r="47" spans="2:4" ht="12.75">
      <c r="B47" s="40"/>
      <c r="C47" s="41"/>
      <c r="D47" s="42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F1" sqref="F1:F16384"/>
    </sheetView>
  </sheetViews>
  <sheetFormatPr defaultColWidth="9.140625" defaultRowHeight="12.75"/>
  <cols>
    <col min="1" max="1" width="3.57421875" style="1" customWidth="1"/>
    <col min="2" max="2" width="38.28125" style="1" customWidth="1"/>
    <col min="3" max="3" width="17.421875" style="3" customWidth="1"/>
    <col min="4" max="4" width="25.140625" style="1" customWidth="1"/>
    <col min="5" max="5" width="28.140625" style="1" hidden="1" customWidth="1"/>
    <col min="6" max="16384" width="9.140625" style="1" customWidth="1"/>
  </cols>
  <sheetData>
    <row r="1" spans="1:5" s="16" customFormat="1" ht="13.5">
      <c r="A1" s="164" t="s">
        <v>25</v>
      </c>
      <c r="B1" s="165"/>
      <c r="C1" s="165"/>
      <c r="D1" s="165"/>
      <c r="E1" s="80"/>
    </row>
    <row r="2" s="2" customFormat="1" ht="15"/>
    <row r="3" s="2" customFormat="1" ht="15">
      <c r="C3" s="4"/>
    </row>
    <row r="4" spans="2:5" s="2" customFormat="1" ht="15.75" thickBot="1">
      <c r="B4" s="159" t="str">
        <f>evaluare!A4</f>
        <v>29/01/2021</v>
      </c>
      <c r="C4" s="160"/>
      <c r="D4" s="5" t="s">
        <v>7</v>
      </c>
      <c r="E4" s="5"/>
    </row>
    <row r="5" spans="1:5" s="3" customFormat="1" ht="39.75" thickBot="1">
      <c r="A5" s="92" t="s">
        <v>0</v>
      </c>
      <c r="B5" s="93" t="s">
        <v>1</v>
      </c>
      <c r="C5" s="143" t="s">
        <v>54</v>
      </c>
      <c r="D5" s="150" t="s">
        <v>31</v>
      </c>
      <c r="E5" s="162" t="s">
        <v>52</v>
      </c>
    </row>
    <row r="6" spans="1:5" s="6" customFormat="1" ht="27" thickBot="1">
      <c r="A6" s="95">
        <v>0</v>
      </c>
      <c r="B6" s="96">
        <v>1</v>
      </c>
      <c r="C6" s="144">
        <v>2</v>
      </c>
      <c r="D6" s="151" t="s">
        <v>32</v>
      </c>
      <c r="E6" s="163"/>
    </row>
    <row r="7" spans="1:5" s="32" customFormat="1" ht="12.75">
      <c r="A7" s="105">
        <v>1</v>
      </c>
      <c r="B7" s="139" t="s">
        <v>11</v>
      </c>
      <c r="C7" s="112">
        <v>138</v>
      </c>
      <c r="D7" s="152">
        <f aca="true" t="shared" si="0" ref="D7:D13">ROUND(C7/C$39*C$40,2)</f>
        <v>9555.32</v>
      </c>
      <c r="E7" s="145"/>
    </row>
    <row r="8" spans="1:5" s="32" customFormat="1" ht="12.75">
      <c r="A8" s="106">
        <f>A7+1</f>
        <v>2</v>
      </c>
      <c r="B8" s="140" t="s">
        <v>55</v>
      </c>
      <c r="C8" s="114">
        <v>456</v>
      </c>
      <c r="D8" s="153">
        <f t="shared" si="0"/>
        <v>31574.11</v>
      </c>
      <c r="E8" s="146"/>
    </row>
    <row r="9" spans="1:5" s="32" customFormat="1" ht="12.75">
      <c r="A9" s="106">
        <f aca="true" t="shared" si="1" ref="A9:A38">A8+1</f>
        <v>3</v>
      </c>
      <c r="B9" s="140" t="s">
        <v>36</v>
      </c>
      <c r="C9" s="114">
        <v>122</v>
      </c>
      <c r="D9" s="153">
        <f t="shared" si="0"/>
        <v>8447.46</v>
      </c>
      <c r="E9" s="146"/>
    </row>
    <row r="10" spans="1:5" s="32" customFormat="1" ht="12.75">
      <c r="A10" s="106">
        <f t="shared" si="1"/>
        <v>4</v>
      </c>
      <c r="B10" s="140" t="s">
        <v>12</v>
      </c>
      <c r="C10" s="114">
        <v>150</v>
      </c>
      <c r="D10" s="153">
        <f t="shared" si="0"/>
        <v>10386.22</v>
      </c>
      <c r="E10" s="146"/>
    </row>
    <row r="11" spans="1:5" s="32" customFormat="1" ht="12.75">
      <c r="A11" s="106">
        <f t="shared" si="1"/>
        <v>5</v>
      </c>
      <c r="B11" s="140" t="s">
        <v>13</v>
      </c>
      <c r="C11" s="114">
        <v>123</v>
      </c>
      <c r="D11" s="153">
        <f t="shared" si="0"/>
        <v>8516.7</v>
      </c>
      <c r="E11" s="146"/>
    </row>
    <row r="12" spans="1:5" s="32" customFormat="1" ht="12.75">
      <c r="A12" s="106">
        <f t="shared" si="1"/>
        <v>6</v>
      </c>
      <c r="B12" s="155" t="s">
        <v>58</v>
      </c>
      <c r="C12" s="156">
        <f>101</f>
        <v>101</v>
      </c>
      <c r="D12" s="153">
        <f t="shared" si="0"/>
        <v>6993.39</v>
      </c>
      <c r="E12" s="146"/>
    </row>
    <row r="13" spans="1:5" s="32" customFormat="1" ht="12.75">
      <c r="A13" s="106">
        <f t="shared" si="1"/>
        <v>7</v>
      </c>
      <c r="B13" s="142" t="s">
        <v>51</v>
      </c>
      <c r="C13" s="114">
        <v>278</v>
      </c>
      <c r="D13" s="153">
        <f t="shared" si="0"/>
        <v>19249.13</v>
      </c>
      <c r="E13" s="146"/>
    </row>
    <row r="14" spans="1:5" s="32" customFormat="1" ht="12.75">
      <c r="A14" s="106">
        <f t="shared" si="1"/>
        <v>8</v>
      </c>
      <c r="B14" s="140" t="s">
        <v>37</v>
      </c>
      <c r="C14" s="114">
        <v>161</v>
      </c>
      <c r="D14" s="153">
        <f>ROUND(C14/C$39*C$40,2)+0.02</f>
        <v>11147.9</v>
      </c>
      <c r="E14" s="146"/>
    </row>
    <row r="15" spans="1:5" s="32" customFormat="1" ht="22.5">
      <c r="A15" s="106">
        <f t="shared" si="1"/>
        <v>9</v>
      </c>
      <c r="B15" s="140" t="s">
        <v>50</v>
      </c>
      <c r="C15" s="114">
        <v>71</v>
      </c>
      <c r="D15" s="153">
        <f aca="true" t="shared" si="2" ref="D15:D38">ROUND(C15/C$39*C$40,2)</f>
        <v>4916.14</v>
      </c>
      <c r="E15" s="146"/>
    </row>
    <row r="16" spans="1:5" s="32" customFormat="1" ht="12.75">
      <c r="A16" s="106">
        <f t="shared" si="1"/>
        <v>10</v>
      </c>
      <c r="B16" s="140" t="s">
        <v>38</v>
      </c>
      <c r="C16" s="114">
        <v>144</v>
      </c>
      <c r="D16" s="153">
        <f t="shared" si="2"/>
        <v>9970.77</v>
      </c>
      <c r="E16" s="146"/>
    </row>
    <row r="17" spans="1:5" s="32" customFormat="1" ht="12.75">
      <c r="A17" s="106">
        <f t="shared" si="1"/>
        <v>11</v>
      </c>
      <c r="B17" s="140" t="s">
        <v>39</v>
      </c>
      <c r="C17" s="114">
        <f>65+63</f>
        <v>128</v>
      </c>
      <c r="D17" s="153">
        <f t="shared" si="2"/>
        <v>8862.91</v>
      </c>
      <c r="E17" s="146"/>
    </row>
    <row r="18" spans="1:5" s="32" customFormat="1" ht="12.75">
      <c r="A18" s="106">
        <f t="shared" si="1"/>
        <v>12</v>
      </c>
      <c r="B18" s="140" t="s">
        <v>23</v>
      </c>
      <c r="C18" s="114">
        <v>157</v>
      </c>
      <c r="D18" s="153">
        <f t="shared" si="2"/>
        <v>10870.91</v>
      </c>
      <c r="E18" s="146"/>
    </row>
    <row r="19" spans="1:5" s="32" customFormat="1" ht="12.75">
      <c r="A19" s="106">
        <f t="shared" si="1"/>
        <v>13</v>
      </c>
      <c r="B19" s="140" t="s">
        <v>14</v>
      </c>
      <c r="C19" s="114">
        <v>161</v>
      </c>
      <c r="D19" s="153">
        <f t="shared" si="2"/>
        <v>11147.88</v>
      </c>
      <c r="E19" s="146"/>
    </row>
    <row r="20" spans="1:5" s="33" customFormat="1" ht="12.75">
      <c r="A20" s="106">
        <f t="shared" si="1"/>
        <v>14</v>
      </c>
      <c r="B20" s="140" t="s">
        <v>15</v>
      </c>
      <c r="C20" s="114">
        <v>120</v>
      </c>
      <c r="D20" s="153">
        <f t="shared" si="2"/>
        <v>8308.98</v>
      </c>
      <c r="E20" s="146"/>
    </row>
    <row r="21" spans="1:5" s="32" customFormat="1" ht="12.75">
      <c r="A21" s="106">
        <f t="shared" si="1"/>
        <v>15</v>
      </c>
      <c r="B21" s="140" t="s">
        <v>48</v>
      </c>
      <c r="C21" s="114">
        <v>72</v>
      </c>
      <c r="D21" s="153">
        <f t="shared" si="2"/>
        <v>4985.39</v>
      </c>
      <c r="E21" s="146"/>
    </row>
    <row r="22" spans="1:5" s="32" customFormat="1" ht="12.75">
      <c r="A22" s="106">
        <f t="shared" si="1"/>
        <v>16</v>
      </c>
      <c r="B22" s="140" t="s">
        <v>40</v>
      </c>
      <c r="C22" s="114">
        <v>140</v>
      </c>
      <c r="D22" s="153">
        <f t="shared" si="2"/>
        <v>9693.81</v>
      </c>
      <c r="E22" s="146"/>
    </row>
    <row r="23" spans="1:5" s="32" customFormat="1" ht="12.75">
      <c r="A23" s="106">
        <f t="shared" si="1"/>
        <v>17</v>
      </c>
      <c r="B23" s="140" t="s">
        <v>16</v>
      </c>
      <c r="C23" s="114">
        <v>151</v>
      </c>
      <c r="D23" s="153">
        <f t="shared" si="2"/>
        <v>10455.46</v>
      </c>
      <c r="E23" s="146"/>
    </row>
    <row r="24" spans="1:5" s="32" customFormat="1" ht="12.75">
      <c r="A24" s="106">
        <f t="shared" si="1"/>
        <v>18</v>
      </c>
      <c r="B24" s="140" t="s">
        <v>56</v>
      </c>
      <c r="C24" s="114">
        <v>135</v>
      </c>
      <c r="D24" s="153">
        <f t="shared" si="2"/>
        <v>9347.6</v>
      </c>
      <c r="E24" s="146"/>
    </row>
    <row r="25" spans="1:5" s="32" customFormat="1" ht="12.75">
      <c r="A25" s="106">
        <f t="shared" si="1"/>
        <v>19</v>
      </c>
      <c r="B25" s="140" t="s">
        <v>49</v>
      </c>
      <c r="C25" s="114">
        <v>131</v>
      </c>
      <c r="D25" s="153">
        <f t="shared" si="2"/>
        <v>9070.63</v>
      </c>
      <c r="E25" s="146"/>
    </row>
    <row r="26" spans="1:5" s="32" customFormat="1" ht="12.75">
      <c r="A26" s="106">
        <f t="shared" si="1"/>
        <v>20</v>
      </c>
      <c r="B26" s="140" t="s">
        <v>19</v>
      </c>
      <c r="C26" s="114">
        <v>151</v>
      </c>
      <c r="D26" s="153">
        <f t="shared" si="2"/>
        <v>10455.46</v>
      </c>
      <c r="E26" s="146"/>
    </row>
    <row r="27" spans="1:5" s="32" customFormat="1" ht="26.25">
      <c r="A27" s="106">
        <f t="shared" si="1"/>
        <v>21</v>
      </c>
      <c r="B27" s="140" t="s">
        <v>30</v>
      </c>
      <c r="C27" s="114">
        <v>84</v>
      </c>
      <c r="D27" s="153">
        <f t="shared" si="2"/>
        <v>5816.28</v>
      </c>
      <c r="E27" s="147" t="s">
        <v>53</v>
      </c>
    </row>
    <row r="28" spans="1:5" s="32" customFormat="1" ht="12.75">
      <c r="A28" s="106">
        <f t="shared" si="1"/>
        <v>22</v>
      </c>
      <c r="B28" s="140" t="s">
        <v>41</v>
      </c>
      <c r="C28" s="114">
        <v>113</v>
      </c>
      <c r="D28" s="153">
        <f t="shared" si="2"/>
        <v>7824.29</v>
      </c>
      <c r="E28" s="146"/>
    </row>
    <row r="29" spans="1:5" s="32" customFormat="1" ht="12.75">
      <c r="A29" s="106">
        <f t="shared" si="1"/>
        <v>23</v>
      </c>
      <c r="B29" s="140" t="s">
        <v>42</v>
      </c>
      <c r="C29" s="114">
        <v>71</v>
      </c>
      <c r="D29" s="153">
        <f t="shared" si="2"/>
        <v>4916.14</v>
      </c>
      <c r="E29" s="146"/>
    </row>
    <row r="30" spans="1:5" s="32" customFormat="1" ht="12.75">
      <c r="A30" s="106">
        <f t="shared" si="1"/>
        <v>24</v>
      </c>
      <c r="B30" s="141" t="s">
        <v>57</v>
      </c>
      <c r="C30" s="114">
        <v>91</v>
      </c>
      <c r="D30" s="153">
        <f t="shared" si="2"/>
        <v>6300.97</v>
      </c>
      <c r="E30" s="146"/>
    </row>
    <row r="31" spans="1:5" s="32" customFormat="1" ht="22.5">
      <c r="A31" s="106">
        <f t="shared" si="1"/>
        <v>25</v>
      </c>
      <c r="B31" s="140" t="s">
        <v>43</v>
      </c>
      <c r="C31" s="114">
        <v>119</v>
      </c>
      <c r="D31" s="153">
        <f t="shared" si="2"/>
        <v>8239.74</v>
      </c>
      <c r="E31" s="146"/>
    </row>
    <row r="32" spans="1:5" s="32" customFormat="1" ht="22.5">
      <c r="A32" s="106">
        <f t="shared" si="1"/>
        <v>26</v>
      </c>
      <c r="B32" s="140" t="s">
        <v>44</v>
      </c>
      <c r="C32" s="114">
        <v>159</v>
      </c>
      <c r="D32" s="153">
        <f t="shared" si="2"/>
        <v>11009.39</v>
      </c>
      <c r="E32" s="146"/>
    </row>
    <row r="33" spans="1:5" s="32" customFormat="1" ht="12.75">
      <c r="A33" s="106">
        <f t="shared" si="1"/>
        <v>27</v>
      </c>
      <c r="B33" s="140" t="s">
        <v>45</v>
      </c>
      <c r="C33" s="114">
        <f>74-8</f>
        <v>66</v>
      </c>
      <c r="D33" s="153">
        <f t="shared" si="2"/>
        <v>4569.94</v>
      </c>
      <c r="E33" s="146"/>
    </row>
    <row r="34" spans="1:5" s="32" customFormat="1" ht="12.75">
      <c r="A34" s="106">
        <f t="shared" si="1"/>
        <v>28</v>
      </c>
      <c r="B34" s="140" t="s">
        <v>20</v>
      </c>
      <c r="C34" s="114">
        <f>144</f>
        <v>144</v>
      </c>
      <c r="D34" s="153">
        <f t="shared" si="2"/>
        <v>9970.77</v>
      </c>
      <c r="E34" s="146"/>
    </row>
    <row r="35" spans="1:5" s="32" customFormat="1" ht="12.75">
      <c r="A35" s="106">
        <f t="shared" si="1"/>
        <v>29</v>
      </c>
      <c r="B35" s="140" t="s">
        <v>17</v>
      </c>
      <c r="C35" s="114">
        <v>155</v>
      </c>
      <c r="D35" s="153">
        <f t="shared" si="2"/>
        <v>10732.43</v>
      </c>
      <c r="E35" s="146"/>
    </row>
    <row r="36" spans="1:5" s="32" customFormat="1" ht="12.75">
      <c r="A36" s="106">
        <f t="shared" si="1"/>
        <v>30</v>
      </c>
      <c r="B36" s="140" t="s">
        <v>46</v>
      </c>
      <c r="C36" s="114">
        <v>130</v>
      </c>
      <c r="D36" s="153">
        <f t="shared" si="2"/>
        <v>9001.39</v>
      </c>
      <c r="E36" s="146"/>
    </row>
    <row r="37" spans="1:5" s="32" customFormat="1" ht="12.75">
      <c r="A37" s="106">
        <f t="shared" si="1"/>
        <v>31</v>
      </c>
      <c r="B37" s="141" t="s">
        <v>47</v>
      </c>
      <c r="C37" s="114">
        <v>156</v>
      </c>
      <c r="D37" s="153">
        <f t="shared" si="2"/>
        <v>10801.67</v>
      </c>
      <c r="E37" s="146"/>
    </row>
    <row r="38" spans="1:5" s="32" customFormat="1" ht="12.75">
      <c r="A38" s="106">
        <f t="shared" si="1"/>
        <v>32</v>
      </c>
      <c r="B38" s="141" t="s">
        <v>18</v>
      </c>
      <c r="C38" s="114">
        <v>153</v>
      </c>
      <c r="D38" s="153">
        <f t="shared" si="2"/>
        <v>10593.95</v>
      </c>
      <c r="E38" s="146"/>
    </row>
    <row r="39" spans="1:5" s="3" customFormat="1" ht="13.5" thickBot="1">
      <c r="A39" s="10"/>
      <c r="B39" s="25" t="s">
        <v>3</v>
      </c>
      <c r="C39" s="113">
        <f>SUM(C7:C38)</f>
        <v>4531</v>
      </c>
      <c r="D39" s="154">
        <f>SUM(D7:D38)</f>
        <v>313733.13000000006</v>
      </c>
      <c r="E39" s="148"/>
    </row>
    <row r="40" spans="1:5" s="32" customFormat="1" ht="13.5" thickBot="1">
      <c r="A40" s="37"/>
      <c r="B40" s="26" t="s">
        <v>27</v>
      </c>
      <c r="C40" s="115">
        <f>ROUND(evaluare!C41*0.5*0.5,2)</f>
        <v>313733.13</v>
      </c>
      <c r="D40" s="149"/>
      <c r="E40" s="115"/>
    </row>
    <row r="41" spans="2:5" s="32" customFormat="1" ht="12.75">
      <c r="B41" s="108"/>
      <c r="C41" s="11"/>
      <c r="D41" s="108"/>
      <c r="E41" s="108"/>
    </row>
    <row r="42" spans="2:5" s="32" customFormat="1" ht="12.75">
      <c r="B42" s="28" t="s">
        <v>4</v>
      </c>
      <c r="C42" s="7">
        <f>ROUND(C40/C39,2)</f>
        <v>69.24</v>
      </c>
      <c r="D42" s="39"/>
      <c r="E42" s="39"/>
    </row>
    <row r="43" spans="2:5" s="32" customFormat="1" ht="12.75">
      <c r="B43" s="108"/>
      <c r="C43" s="7"/>
      <c r="D43" s="39"/>
      <c r="E43" s="39"/>
    </row>
  </sheetData>
  <sheetProtection/>
  <mergeCells count="3">
    <mergeCell ref="E5:E6"/>
    <mergeCell ref="A1:D1"/>
    <mergeCell ref="B4:C4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zoomScalePageLayoutView="0" workbookViewId="0" topLeftCell="A26">
      <selection activeCell="A44" sqref="A44:IV47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21.8515625" style="8" customWidth="1"/>
    <col min="4" max="4" width="16.7109375" style="1" customWidth="1"/>
    <col min="5" max="16384" width="9.140625" style="1" customWidth="1"/>
  </cols>
  <sheetData>
    <row r="1" spans="1:4" s="79" customFormat="1" ht="36" customHeight="1">
      <c r="A1" s="164" t="s">
        <v>26</v>
      </c>
      <c r="B1" s="166"/>
      <c r="C1" s="166"/>
      <c r="D1" s="166"/>
    </row>
    <row r="3" spans="2:3" s="2" customFormat="1" ht="15">
      <c r="B3" s="4"/>
      <c r="C3" s="19"/>
    </row>
    <row r="4" spans="2:4" s="2" customFormat="1" ht="15.75" thickBot="1">
      <c r="B4" s="159" t="str">
        <f>evaluare!A4</f>
        <v>29/01/2021</v>
      </c>
      <c r="C4" s="160"/>
      <c r="D4" s="5" t="s">
        <v>8</v>
      </c>
    </row>
    <row r="5" spans="1:4" s="3" customFormat="1" ht="39.75" thickBot="1">
      <c r="A5" s="92" t="s">
        <v>0</v>
      </c>
      <c r="B5" s="93" t="s">
        <v>1</v>
      </c>
      <c r="C5" s="104" t="s">
        <v>54</v>
      </c>
      <c r="D5" s="120" t="s">
        <v>31</v>
      </c>
    </row>
    <row r="6" spans="1:4" s="6" customFormat="1" ht="27" thickBot="1">
      <c r="A6" s="98">
        <v>0</v>
      </c>
      <c r="B6" s="96">
        <v>1</v>
      </c>
      <c r="C6" s="99">
        <v>2</v>
      </c>
      <c r="D6" s="121" t="s">
        <v>33</v>
      </c>
    </row>
    <row r="7" spans="1:4" s="24" customFormat="1" ht="12.75">
      <c r="A7" s="94">
        <v>1</v>
      </c>
      <c r="B7" s="139" t="s">
        <v>11</v>
      </c>
      <c r="C7" s="127">
        <v>895</v>
      </c>
      <c r="D7" s="109">
        <f>ROUND(C7/C$39*C$40,2)</f>
        <v>12643.69</v>
      </c>
    </row>
    <row r="8" spans="1:4" s="24" customFormat="1" ht="12.75">
      <c r="A8" s="12">
        <f>A7+1</f>
        <v>2</v>
      </c>
      <c r="B8" s="140" t="s">
        <v>55</v>
      </c>
      <c r="C8" s="107">
        <v>2224</v>
      </c>
      <c r="D8" s="110">
        <f>ROUND(C8/C$39*C$40,2)</f>
        <v>31418.52</v>
      </c>
    </row>
    <row r="9" spans="1:4" s="24" customFormat="1" ht="12.75">
      <c r="A9" s="12">
        <f aca="true" t="shared" si="0" ref="A9:A38">A8+1</f>
        <v>3</v>
      </c>
      <c r="B9" s="140" t="s">
        <v>36</v>
      </c>
      <c r="C9" s="107">
        <v>396</v>
      </c>
      <c r="D9" s="110">
        <f>ROUND(C9/C$39*C$40,2)</f>
        <v>5594.3</v>
      </c>
    </row>
    <row r="10" spans="1:4" s="24" customFormat="1" ht="12.75">
      <c r="A10" s="12">
        <f t="shared" si="0"/>
        <v>4</v>
      </c>
      <c r="B10" s="140" t="s">
        <v>12</v>
      </c>
      <c r="C10" s="23">
        <v>868</v>
      </c>
      <c r="D10" s="110">
        <f>ROUND(C10/C$39*C$40,2)</f>
        <v>12262.26</v>
      </c>
    </row>
    <row r="11" spans="1:4" s="24" customFormat="1" ht="12.75">
      <c r="A11" s="12">
        <f t="shared" si="0"/>
        <v>5</v>
      </c>
      <c r="B11" s="140" t="s">
        <v>13</v>
      </c>
      <c r="C11" s="23">
        <v>490</v>
      </c>
      <c r="D11" s="110">
        <f>ROUND(C11/C$39*C$40,2)</f>
        <v>6922.25</v>
      </c>
    </row>
    <row r="12" spans="1:4" s="24" customFormat="1" ht="12.75">
      <c r="A12" s="12">
        <f t="shared" si="0"/>
        <v>6</v>
      </c>
      <c r="B12" s="155" t="s">
        <v>58</v>
      </c>
      <c r="C12" s="157">
        <f>248</f>
        <v>248</v>
      </c>
      <c r="D12" s="110">
        <f>ROUND(C12/C$39*C$40,2)+0.02</f>
        <v>3503.52</v>
      </c>
    </row>
    <row r="13" spans="1:4" s="24" customFormat="1" ht="12.75">
      <c r="A13" s="12">
        <f t="shared" si="0"/>
        <v>7</v>
      </c>
      <c r="B13" s="142" t="s">
        <v>51</v>
      </c>
      <c r="C13" s="107">
        <v>316</v>
      </c>
      <c r="D13" s="110">
        <f aca="true" t="shared" si="1" ref="D13:D38">ROUND(C13/C$39*C$40,2)</f>
        <v>4464.14</v>
      </c>
    </row>
    <row r="14" spans="1:4" s="24" customFormat="1" ht="12.75">
      <c r="A14" s="12">
        <f t="shared" si="0"/>
        <v>8</v>
      </c>
      <c r="B14" s="140" t="s">
        <v>37</v>
      </c>
      <c r="C14" s="107">
        <v>1300</v>
      </c>
      <c r="D14" s="110">
        <f t="shared" si="1"/>
        <v>18365.14</v>
      </c>
    </row>
    <row r="15" spans="1:4" s="24" customFormat="1" ht="12.75">
      <c r="A15" s="12">
        <f t="shared" si="0"/>
        <v>9</v>
      </c>
      <c r="B15" s="140" t="s">
        <v>50</v>
      </c>
      <c r="C15" s="23">
        <v>443</v>
      </c>
      <c r="D15" s="110">
        <f t="shared" si="1"/>
        <v>6258.28</v>
      </c>
    </row>
    <row r="16" spans="1:4" s="24" customFormat="1" ht="12.75">
      <c r="A16" s="12">
        <f t="shared" si="0"/>
        <v>10</v>
      </c>
      <c r="B16" s="140" t="s">
        <v>38</v>
      </c>
      <c r="C16" s="23">
        <v>576</v>
      </c>
      <c r="D16" s="110">
        <f t="shared" si="1"/>
        <v>8137.17</v>
      </c>
    </row>
    <row r="17" spans="1:4" s="24" customFormat="1" ht="12.75">
      <c r="A17" s="12">
        <f t="shared" si="0"/>
        <v>11</v>
      </c>
      <c r="B17" s="140" t="s">
        <v>39</v>
      </c>
      <c r="C17" s="23">
        <v>300</v>
      </c>
      <c r="D17" s="110">
        <f t="shared" si="1"/>
        <v>4238.11</v>
      </c>
    </row>
    <row r="18" spans="1:4" s="24" customFormat="1" ht="12.75">
      <c r="A18" s="12">
        <f t="shared" si="0"/>
        <v>12</v>
      </c>
      <c r="B18" s="140" t="s">
        <v>23</v>
      </c>
      <c r="C18" s="23">
        <v>340</v>
      </c>
      <c r="D18" s="110">
        <f t="shared" si="1"/>
        <v>4803.19</v>
      </c>
    </row>
    <row r="19" spans="1:4" s="24" customFormat="1" ht="12.75">
      <c r="A19" s="12">
        <f t="shared" si="0"/>
        <v>13</v>
      </c>
      <c r="B19" s="140" t="s">
        <v>14</v>
      </c>
      <c r="C19" s="29">
        <v>1128</v>
      </c>
      <c r="D19" s="110">
        <f t="shared" si="1"/>
        <v>15935.29</v>
      </c>
    </row>
    <row r="20" spans="1:4" s="50" customFormat="1" ht="12.75">
      <c r="A20" s="12">
        <f t="shared" si="0"/>
        <v>14</v>
      </c>
      <c r="B20" s="140" t="s">
        <v>15</v>
      </c>
      <c r="C20" s="23">
        <v>696</v>
      </c>
      <c r="D20" s="110">
        <f t="shared" si="1"/>
        <v>9832.41</v>
      </c>
    </row>
    <row r="21" spans="1:4" s="24" customFormat="1" ht="12.75">
      <c r="A21" s="12">
        <f t="shared" si="0"/>
        <v>15</v>
      </c>
      <c r="B21" s="140" t="s">
        <v>48</v>
      </c>
      <c r="C21" s="23">
        <v>443</v>
      </c>
      <c r="D21" s="110">
        <f t="shared" si="1"/>
        <v>6258.28</v>
      </c>
    </row>
    <row r="22" spans="1:4" s="50" customFormat="1" ht="12.75">
      <c r="A22" s="12">
        <f t="shared" si="0"/>
        <v>16</v>
      </c>
      <c r="B22" s="140" t="s">
        <v>40</v>
      </c>
      <c r="C22" s="29">
        <v>414</v>
      </c>
      <c r="D22" s="110">
        <f t="shared" si="1"/>
        <v>5848.59</v>
      </c>
    </row>
    <row r="23" spans="1:4" s="24" customFormat="1" ht="12.75">
      <c r="A23" s="12">
        <f t="shared" si="0"/>
        <v>17</v>
      </c>
      <c r="B23" s="140" t="s">
        <v>16</v>
      </c>
      <c r="C23" s="107">
        <v>600</v>
      </c>
      <c r="D23" s="110">
        <f t="shared" si="1"/>
        <v>8476.22</v>
      </c>
    </row>
    <row r="24" spans="1:4" s="24" customFormat="1" ht="12.75">
      <c r="A24" s="12">
        <f t="shared" si="0"/>
        <v>18</v>
      </c>
      <c r="B24" s="140" t="s">
        <v>56</v>
      </c>
      <c r="C24" s="23">
        <v>713</v>
      </c>
      <c r="D24" s="110">
        <f t="shared" si="1"/>
        <v>10072.57</v>
      </c>
    </row>
    <row r="25" spans="1:4" s="24" customFormat="1" ht="12.75">
      <c r="A25" s="12">
        <f t="shared" si="0"/>
        <v>19</v>
      </c>
      <c r="B25" s="140" t="s">
        <v>49</v>
      </c>
      <c r="C25" s="23">
        <v>831</v>
      </c>
      <c r="D25" s="110">
        <f t="shared" si="1"/>
        <v>11739.56</v>
      </c>
    </row>
    <row r="26" spans="1:4" s="24" customFormat="1" ht="12.75">
      <c r="A26" s="12">
        <f t="shared" si="0"/>
        <v>20</v>
      </c>
      <c r="B26" s="140" t="s">
        <v>19</v>
      </c>
      <c r="C26" s="23">
        <v>1028</v>
      </c>
      <c r="D26" s="110">
        <f t="shared" si="1"/>
        <v>14522.59</v>
      </c>
    </row>
    <row r="27" spans="1:4" s="24" customFormat="1" ht="12.75">
      <c r="A27" s="12">
        <f t="shared" si="0"/>
        <v>21</v>
      </c>
      <c r="B27" s="140" t="s">
        <v>30</v>
      </c>
      <c r="C27" s="23">
        <v>720</v>
      </c>
      <c r="D27" s="110">
        <f t="shared" si="1"/>
        <v>10171.46</v>
      </c>
    </row>
    <row r="28" spans="1:4" s="24" customFormat="1" ht="12.75">
      <c r="A28" s="12">
        <f t="shared" si="0"/>
        <v>22</v>
      </c>
      <c r="B28" s="140" t="s">
        <v>41</v>
      </c>
      <c r="C28" s="107">
        <v>360</v>
      </c>
      <c r="D28" s="110">
        <f t="shared" si="1"/>
        <v>5085.73</v>
      </c>
    </row>
    <row r="29" spans="1:4" s="24" customFormat="1" ht="12.75">
      <c r="A29" s="12">
        <f t="shared" si="0"/>
        <v>23</v>
      </c>
      <c r="B29" s="140" t="s">
        <v>42</v>
      </c>
      <c r="C29" s="107">
        <v>320</v>
      </c>
      <c r="D29" s="110">
        <f t="shared" si="1"/>
        <v>4520.65</v>
      </c>
    </row>
    <row r="30" spans="1:4" s="32" customFormat="1" ht="12.75">
      <c r="A30" s="12">
        <f t="shared" si="0"/>
        <v>24</v>
      </c>
      <c r="B30" s="141" t="s">
        <v>57</v>
      </c>
      <c r="C30" s="107">
        <v>232</v>
      </c>
      <c r="D30" s="114">
        <f t="shared" si="1"/>
        <v>3277.47</v>
      </c>
    </row>
    <row r="31" spans="1:4" s="24" customFormat="1" ht="22.5">
      <c r="A31" s="12">
        <f t="shared" si="0"/>
        <v>25</v>
      </c>
      <c r="B31" s="140" t="s">
        <v>43</v>
      </c>
      <c r="C31" s="107">
        <v>336</v>
      </c>
      <c r="D31" s="110">
        <f t="shared" si="1"/>
        <v>4746.68</v>
      </c>
    </row>
    <row r="32" spans="1:4" s="24" customFormat="1" ht="22.5">
      <c r="A32" s="12">
        <f t="shared" si="0"/>
        <v>26</v>
      </c>
      <c r="B32" s="140" t="s">
        <v>44</v>
      </c>
      <c r="C32" s="23">
        <v>1048</v>
      </c>
      <c r="D32" s="110">
        <f t="shared" si="1"/>
        <v>14805.13</v>
      </c>
    </row>
    <row r="33" spans="1:4" s="24" customFormat="1" ht="12.75">
      <c r="A33" s="12">
        <f t="shared" si="0"/>
        <v>27</v>
      </c>
      <c r="B33" s="140" t="s">
        <v>45</v>
      </c>
      <c r="C33" s="23">
        <v>298</v>
      </c>
      <c r="D33" s="110">
        <f t="shared" si="1"/>
        <v>4209.86</v>
      </c>
    </row>
    <row r="34" spans="1:4" s="24" customFormat="1" ht="12.75">
      <c r="A34" s="12">
        <f t="shared" si="0"/>
        <v>28</v>
      </c>
      <c r="B34" s="140" t="s">
        <v>20</v>
      </c>
      <c r="C34" s="23">
        <f>600</f>
        <v>600</v>
      </c>
      <c r="D34" s="110">
        <f t="shared" si="1"/>
        <v>8476.22</v>
      </c>
    </row>
    <row r="35" spans="1:4" s="24" customFormat="1" ht="12.75">
      <c r="A35" s="12">
        <f t="shared" si="0"/>
        <v>29</v>
      </c>
      <c r="B35" s="140" t="s">
        <v>17</v>
      </c>
      <c r="C35" s="23">
        <v>880</v>
      </c>
      <c r="D35" s="110">
        <f t="shared" si="1"/>
        <v>12431.79</v>
      </c>
    </row>
    <row r="36" spans="1:4" s="24" customFormat="1" ht="12.75">
      <c r="A36" s="12">
        <f t="shared" si="0"/>
        <v>30</v>
      </c>
      <c r="B36" s="140" t="s">
        <v>46</v>
      </c>
      <c r="C36" s="107">
        <v>992</v>
      </c>
      <c r="D36" s="110">
        <f t="shared" si="1"/>
        <v>14014.02</v>
      </c>
    </row>
    <row r="37" spans="1:4" s="24" customFormat="1" ht="12.75">
      <c r="A37" s="12">
        <f t="shared" si="0"/>
        <v>31</v>
      </c>
      <c r="B37" s="141" t="s">
        <v>47</v>
      </c>
      <c r="C37" s="23">
        <v>1256</v>
      </c>
      <c r="D37" s="110">
        <f t="shared" si="1"/>
        <v>17743.55</v>
      </c>
    </row>
    <row r="38" spans="1:4" s="24" customFormat="1" ht="12.75">
      <c r="A38" s="12">
        <f t="shared" si="0"/>
        <v>32</v>
      </c>
      <c r="B38" s="141" t="s">
        <v>18</v>
      </c>
      <c r="C38" s="23">
        <v>917</v>
      </c>
      <c r="D38" s="110">
        <f t="shared" si="1"/>
        <v>12954.49</v>
      </c>
    </row>
    <row r="39" spans="1:4" s="24" customFormat="1" ht="13.5" thickBot="1">
      <c r="A39" s="72"/>
      <c r="B39" s="73" t="s">
        <v>3</v>
      </c>
      <c r="C39" s="68">
        <f>SUM(C7:C38)</f>
        <v>22208</v>
      </c>
      <c r="D39" s="122">
        <f>SUM(D7:D38)</f>
        <v>313733.13</v>
      </c>
    </row>
    <row r="40" spans="1:4" s="24" customFormat="1" ht="13.5" thickBot="1">
      <c r="A40" s="69"/>
      <c r="B40" s="70" t="s">
        <v>27</v>
      </c>
      <c r="C40" s="71">
        <f>evaluare!C41*0.5*0.5</f>
        <v>313733.125</v>
      </c>
      <c r="D40" s="116"/>
    </row>
    <row r="41" spans="2:4" s="24" customFormat="1" ht="12.75">
      <c r="B41" s="27"/>
      <c r="C41" s="7"/>
      <c r="D41" s="27"/>
    </row>
    <row r="42" spans="2:4" s="24" customFormat="1" ht="12.75">
      <c r="B42" s="28" t="s">
        <v>4</v>
      </c>
      <c r="C42" s="7">
        <f>ROUND(C40/C39,2)</f>
        <v>14.13</v>
      </c>
      <c r="D42" s="29"/>
    </row>
    <row r="43" spans="2:4" s="24" customFormat="1" ht="12.75">
      <c r="B43" s="27"/>
      <c r="C43" s="7"/>
      <c r="D43" s="29"/>
    </row>
  </sheetData>
  <sheetProtection/>
  <mergeCells count="2">
    <mergeCell ref="A1:D1"/>
    <mergeCell ref="B4:C4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zoomScaleSheetLayoutView="100" zoomScalePageLayoutView="0" workbookViewId="0" topLeftCell="A16">
      <selection activeCell="A45" sqref="A45:IV48"/>
    </sheetView>
  </sheetViews>
  <sheetFormatPr defaultColWidth="9.140625" defaultRowHeight="12.75"/>
  <cols>
    <col min="1" max="1" width="3.421875" style="16" customWidth="1"/>
    <col min="2" max="2" width="43.8515625" style="16" customWidth="1"/>
    <col min="3" max="3" width="15.00390625" style="63" customWidth="1"/>
    <col min="4" max="4" width="16.28125" style="17" customWidth="1"/>
    <col min="5" max="5" width="15.28125" style="17" customWidth="1"/>
    <col min="6" max="6" width="16.140625" style="17" customWidth="1"/>
    <col min="7" max="16384" width="9.140625" style="16" customWidth="1"/>
  </cols>
  <sheetData>
    <row r="1" spans="1:6" ht="14.25" customHeight="1">
      <c r="A1" s="74"/>
      <c r="B1" s="75"/>
      <c r="C1" s="76"/>
      <c r="D1" s="75"/>
      <c r="E1" s="77"/>
      <c r="F1" s="78"/>
    </row>
    <row r="2" spans="1:6" ht="24.75" customHeight="1">
      <c r="A2" s="167" t="s">
        <v>60</v>
      </c>
      <c r="B2" s="167"/>
      <c r="C2" s="167"/>
      <c r="D2" s="167"/>
      <c r="E2" s="167"/>
      <c r="F2" s="167"/>
    </row>
    <row r="3" spans="1:6" s="2" customFormat="1" ht="6.75" customHeight="1">
      <c r="A3" s="65"/>
      <c r="B3" s="52"/>
      <c r="C3" s="52"/>
      <c r="D3" s="52"/>
      <c r="E3" s="52"/>
      <c r="F3" s="52"/>
    </row>
    <row r="4" spans="1:6" s="2" customFormat="1" ht="10.5" customHeight="1">
      <c r="A4" s="65"/>
      <c r="B4" s="52"/>
      <c r="C4" s="52"/>
      <c r="D4" s="52"/>
      <c r="E4" s="52"/>
      <c r="F4" s="52"/>
    </row>
    <row r="5" spans="1:6" s="14" customFormat="1" ht="36" customHeight="1" thickBot="1">
      <c r="A5" s="159" t="str">
        <f>evaluare!A4</f>
        <v>29/01/2021</v>
      </c>
      <c r="B5" s="160"/>
      <c r="C5" s="54"/>
      <c r="D5" s="15"/>
      <c r="E5" s="15"/>
      <c r="F5" s="19" t="s">
        <v>34</v>
      </c>
    </row>
    <row r="6" spans="1:6" s="58" customFormat="1" ht="54" customHeight="1">
      <c r="A6" s="67" t="s">
        <v>0</v>
      </c>
      <c r="B6" s="55" t="s">
        <v>1</v>
      </c>
      <c r="C6" s="56" t="s">
        <v>3</v>
      </c>
      <c r="D6" s="56" t="s">
        <v>22</v>
      </c>
      <c r="E6" s="57" t="s">
        <v>28</v>
      </c>
      <c r="F6" s="129" t="s">
        <v>29</v>
      </c>
    </row>
    <row r="7" spans="1:6" s="126" customFormat="1" ht="25.5" customHeight="1">
      <c r="A7" s="123">
        <v>0</v>
      </c>
      <c r="B7" s="124">
        <v>1</v>
      </c>
      <c r="C7" s="125">
        <v>2</v>
      </c>
      <c r="D7" s="125">
        <v>3</v>
      </c>
      <c r="E7" s="125">
        <v>4</v>
      </c>
      <c r="F7" s="130">
        <v>5</v>
      </c>
    </row>
    <row r="8" spans="1:6" s="14" customFormat="1" ht="12.75">
      <c r="A8" s="59">
        <v>1</v>
      </c>
      <c r="B8" s="60" t="s">
        <v>11</v>
      </c>
      <c r="C8" s="61">
        <f>SUM(D8:F8)</f>
        <v>40905.21</v>
      </c>
      <c r="D8" s="53">
        <f>evaluare!D7</f>
        <v>18706.2</v>
      </c>
      <c r="E8" s="53">
        <f>cal_ISO!D7</f>
        <v>9555.32</v>
      </c>
      <c r="F8" s="131">
        <f>cal_II!D7</f>
        <v>12643.69</v>
      </c>
    </row>
    <row r="9" spans="1:6" s="64" customFormat="1" ht="12.75">
      <c r="A9" s="66">
        <f>A8+1</f>
        <v>2</v>
      </c>
      <c r="B9" s="60" t="s">
        <v>35</v>
      </c>
      <c r="C9" s="61">
        <f aca="true" t="shared" si="0" ref="C9:C39">SUM(D9:F9)</f>
        <v>88385.35</v>
      </c>
      <c r="D9" s="53">
        <f>evaluare!D8</f>
        <v>25392.72</v>
      </c>
      <c r="E9" s="53">
        <f>cal_ISO!D8</f>
        <v>31574.11</v>
      </c>
      <c r="F9" s="131">
        <f>cal_II!D8</f>
        <v>31418.52</v>
      </c>
    </row>
    <row r="10" spans="1:6" s="64" customFormat="1" ht="12.75">
      <c r="A10" s="66">
        <f aca="true" t="shared" si="1" ref="A10:A39">A9+1</f>
        <v>3</v>
      </c>
      <c r="B10" s="60" t="s">
        <v>36</v>
      </c>
      <c r="C10" s="61">
        <f t="shared" si="0"/>
        <v>29481.69</v>
      </c>
      <c r="D10" s="53">
        <f>evaluare!D9</f>
        <v>15439.93</v>
      </c>
      <c r="E10" s="53">
        <f>cal_ISO!D9</f>
        <v>8447.46</v>
      </c>
      <c r="F10" s="131">
        <f>cal_II!D9</f>
        <v>5594.3</v>
      </c>
    </row>
    <row r="11" spans="1:6" s="64" customFormat="1" ht="12.75">
      <c r="A11" s="66">
        <f t="shared" si="1"/>
        <v>4</v>
      </c>
      <c r="B11" s="13" t="s">
        <v>12</v>
      </c>
      <c r="C11" s="61">
        <f>SUM(D11:F11)</f>
        <v>53356.340000000004</v>
      </c>
      <c r="D11" s="53">
        <f>evaluare!D10</f>
        <v>30707.86</v>
      </c>
      <c r="E11" s="53">
        <f>cal_ISO!D10</f>
        <v>10386.22</v>
      </c>
      <c r="F11" s="131">
        <f>cal_II!D10</f>
        <v>12262.26</v>
      </c>
    </row>
    <row r="12" spans="1:6" s="64" customFormat="1" ht="12.75">
      <c r="A12" s="66">
        <f t="shared" si="1"/>
        <v>5</v>
      </c>
      <c r="B12" s="13" t="s">
        <v>13</v>
      </c>
      <c r="C12" s="61">
        <f t="shared" si="0"/>
        <v>26543.28</v>
      </c>
      <c r="D12" s="53">
        <f>evaluare!D11</f>
        <v>11104.33</v>
      </c>
      <c r="E12" s="53">
        <f>cal_ISO!D11</f>
        <v>8516.7</v>
      </c>
      <c r="F12" s="131">
        <f>cal_II!D11</f>
        <v>6922.25</v>
      </c>
    </row>
    <row r="13" spans="1:6" s="64" customFormat="1" ht="12.75">
      <c r="A13" s="66">
        <f t="shared" si="1"/>
        <v>6</v>
      </c>
      <c r="B13" s="155" t="s">
        <v>58</v>
      </c>
      <c r="C13" s="61">
        <f>SUM(D13:F13)</f>
        <v>24479.05</v>
      </c>
      <c r="D13" s="53">
        <f>evaluare!D12</f>
        <v>13982.14</v>
      </c>
      <c r="E13" s="53">
        <f>cal_ISO!D12</f>
        <v>6993.39</v>
      </c>
      <c r="F13" s="131">
        <f>cal_II!D12</f>
        <v>3503.52</v>
      </c>
    </row>
    <row r="14" spans="1:6" s="14" customFormat="1" ht="12.75">
      <c r="A14" s="66">
        <f t="shared" si="1"/>
        <v>7</v>
      </c>
      <c r="B14" s="81" t="s">
        <v>51</v>
      </c>
      <c r="C14" s="61">
        <f>SUM(D14:F14)</f>
        <v>56162.08</v>
      </c>
      <c r="D14" s="53">
        <f>evaluare!D13</f>
        <v>32448.81</v>
      </c>
      <c r="E14" s="53">
        <f>cal_ISO!D13</f>
        <v>19249.13</v>
      </c>
      <c r="F14" s="131">
        <f>cal_II!D13</f>
        <v>4464.14</v>
      </c>
    </row>
    <row r="15" spans="1:6" s="64" customFormat="1" ht="12.75">
      <c r="A15" s="66">
        <f t="shared" si="1"/>
        <v>8</v>
      </c>
      <c r="B15" s="21" t="s">
        <v>37</v>
      </c>
      <c r="C15" s="61">
        <f t="shared" si="0"/>
        <v>100048.83999999998</v>
      </c>
      <c r="D15" s="53">
        <f>evaluare!D14</f>
        <v>70535.79999999999</v>
      </c>
      <c r="E15" s="53">
        <f>cal_ISO!D14</f>
        <v>11147.9</v>
      </c>
      <c r="F15" s="131">
        <f>cal_II!D14</f>
        <v>18365.14</v>
      </c>
    </row>
    <row r="16" spans="1:6" s="64" customFormat="1" ht="12.75">
      <c r="A16" s="66">
        <f t="shared" si="1"/>
        <v>9</v>
      </c>
      <c r="B16" s="13" t="s">
        <v>50</v>
      </c>
      <c r="C16" s="61">
        <f t="shared" si="0"/>
        <v>19946.3</v>
      </c>
      <c r="D16" s="53">
        <f>evaluare!D15</f>
        <v>8771.88</v>
      </c>
      <c r="E16" s="53">
        <f>cal_ISO!D15</f>
        <v>4916.14</v>
      </c>
      <c r="F16" s="131">
        <f>cal_II!D15</f>
        <v>6258.28</v>
      </c>
    </row>
    <row r="17" spans="1:6" s="64" customFormat="1" ht="12.75">
      <c r="A17" s="66">
        <f t="shared" si="1"/>
        <v>10</v>
      </c>
      <c r="B17" s="13" t="s">
        <v>38</v>
      </c>
      <c r="C17" s="61">
        <f t="shared" si="0"/>
        <v>25959</v>
      </c>
      <c r="D17" s="53">
        <f>evaluare!D16</f>
        <v>7851.06</v>
      </c>
      <c r="E17" s="53">
        <f>cal_ISO!D16</f>
        <v>9970.77</v>
      </c>
      <c r="F17" s="131">
        <f>cal_II!D16</f>
        <v>8137.17</v>
      </c>
    </row>
    <row r="18" spans="1:6" s="64" customFormat="1" ht="12.75">
      <c r="A18" s="66">
        <f t="shared" si="1"/>
        <v>11</v>
      </c>
      <c r="B18" s="13" t="s">
        <v>39</v>
      </c>
      <c r="C18" s="61">
        <f t="shared" si="0"/>
        <v>21727.120000000003</v>
      </c>
      <c r="D18" s="53">
        <f>evaluare!D17</f>
        <v>8626.1</v>
      </c>
      <c r="E18" s="53">
        <f>cal_ISO!D17</f>
        <v>8862.91</v>
      </c>
      <c r="F18" s="131">
        <f>cal_II!D17</f>
        <v>4238.11</v>
      </c>
    </row>
    <row r="19" spans="1:6" s="64" customFormat="1" ht="12.75">
      <c r="A19" s="66">
        <f t="shared" si="1"/>
        <v>12</v>
      </c>
      <c r="B19" s="13" t="s">
        <v>23</v>
      </c>
      <c r="C19" s="61">
        <f>SUM(D19:F19)</f>
        <v>33031.17</v>
      </c>
      <c r="D19" s="53">
        <f>evaluare!D18</f>
        <v>17357.07</v>
      </c>
      <c r="E19" s="53">
        <f>cal_ISO!D18</f>
        <v>10870.91</v>
      </c>
      <c r="F19" s="131">
        <f>cal_II!D18</f>
        <v>4803.19</v>
      </c>
    </row>
    <row r="20" spans="1:6" s="64" customFormat="1" ht="12.75">
      <c r="A20" s="66">
        <f t="shared" si="1"/>
        <v>13</v>
      </c>
      <c r="B20" s="13" t="s">
        <v>14</v>
      </c>
      <c r="C20" s="61">
        <f t="shared" si="0"/>
        <v>41018.33</v>
      </c>
      <c r="D20" s="53">
        <f>evaluare!D19</f>
        <v>13935.16</v>
      </c>
      <c r="E20" s="53">
        <f>cal_ISO!D19</f>
        <v>11147.88</v>
      </c>
      <c r="F20" s="131">
        <f>cal_II!D19</f>
        <v>15935.29</v>
      </c>
    </row>
    <row r="21" spans="1:6" s="64" customFormat="1" ht="12.75">
      <c r="A21" s="66">
        <f t="shared" si="1"/>
        <v>14</v>
      </c>
      <c r="B21" s="13" t="s">
        <v>15</v>
      </c>
      <c r="C21" s="61">
        <f t="shared" si="0"/>
        <v>32832.5</v>
      </c>
      <c r="D21" s="53">
        <f>evaluare!D20</f>
        <v>14691.11</v>
      </c>
      <c r="E21" s="53">
        <f>cal_ISO!D20</f>
        <v>8308.98</v>
      </c>
      <c r="F21" s="131">
        <f>cal_II!D20</f>
        <v>9832.41</v>
      </c>
    </row>
    <row r="22" spans="1:6" s="64" customFormat="1" ht="12.75">
      <c r="A22" s="66">
        <f t="shared" si="1"/>
        <v>15</v>
      </c>
      <c r="B22" s="13" t="s">
        <v>48</v>
      </c>
      <c r="C22" s="61">
        <f t="shared" si="0"/>
        <v>19685.809999999998</v>
      </c>
      <c r="D22" s="53">
        <f>evaluare!D21</f>
        <v>8442.14</v>
      </c>
      <c r="E22" s="53">
        <f>cal_ISO!D21</f>
        <v>4985.39</v>
      </c>
      <c r="F22" s="131">
        <f>cal_II!D21</f>
        <v>6258.28</v>
      </c>
    </row>
    <row r="23" spans="1:6" s="64" customFormat="1" ht="12.75">
      <c r="A23" s="66">
        <f t="shared" si="1"/>
        <v>16</v>
      </c>
      <c r="B23" s="13" t="s">
        <v>40</v>
      </c>
      <c r="C23" s="61">
        <f t="shared" si="0"/>
        <v>25757.38</v>
      </c>
      <c r="D23" s="53">
        <f>evaluare!D22</f>
        <v>10214.98</v>
      </c>
      <c r="E23" s="53">
        <f>cal_ISO!D22</f>
        <v>9693.81</v>
      </c>
      <c r="F23" s="131">
        <f>cal_II!D22</f>
        <v>5848.59</v>
      </c>
    </row>
    <row r="24" spans="1:6" s="64" customFormat="1" ht="12.75">
      <c r="A24" s="66">
        <f t="shared" si="1"/>
        <v>17</v>
      </c>
      <c r="B24" s="13" t="s">
        <v>16</v>
      </c>
      <c r="C24" s="61">
        <f t="shared" si="0"/>
        <v>26575.08</v>
      </c>
      <c r="D24" s="53">
        <f>evaluare!D23</f>
        <v>7643.4</v>
      </c>
      <c r="E24" s="53">
        <f>cal_ISO!D23</f>
        <v>10455.46</v>
      </c>
      <c r="F24" s="131">
        <f>cal_II!D23</f>
        <v>8476.22</v>
      </c>
    </row>
    <row r="25" spans="1:6" s="64" customFormat="1" ht="18" customHeight="1">
      <c r="A25" s="66">
        <f t="shared" si="1"/>
        <v>18</v>
      </c>
      <c r="B25" s="21" t="s">
        <v>56</v>
      </c>
      <c r="C25" s="61">
        <f t="shared" si="0"/>
        <v>33620.46</v>
      </c>
      <c r="D25" s="53">
        <f>evaluare!D24</f>
        <v>14200.29</v>
      </c>
      <c r="E25" s="53">
        <f>cal_ISO!D24</f>
        <v>9347.6</v>
      </c>
      <c r="F25" s="131">
        <f>cal_II!D24</f>
        <v>10072.57</v>
      </c>
    </row>
    <row r="26" spans="1:6" s="14" customFormat="1" ht="12.75">
      <c r="A26" s="66">
        <f t="shared" si="1"/>
        <v>19</v>
      </c>
      <c r="B26" s="13" t="s">
        <v>49</v>
      </c>
      <c r="C26" s="61">
        <f>SUM(D26:F26)</f>
        <v>35102.77</v>
      </c>
      <c r="D26" s="53">
        <f>evaluare!D25</f>
        <v>14292.58</v>
      </c>
      <c r="E26" s="53">
        <f>cal_ISO!D25</f>
        <v>9070.63</v>
      </c>
      <c r="F26" s="131">
        <f>cal_II!D25</f>
        <v>11739.56</v>
      </c>
    </row>
    <row r="27" spans="1:6" s="64" customFormat="1" ht="12.75">
      <c r="A27" s="66">
        <f t="shared" si="1"/>
        <v>20</v>
      </c>
      <c r="B27" s="13" t="s">
        <v>19</v>
      </c>
      <c r="C27" s="61">
        <f t="shared" si="0"/>
        <v>54469.34</v>
      </c>
      <c r="D27" s="53">
        <f>evaluare!D26</f>
        <v>29491.29</v>
      </c>
      <c r="E27" s="53">
        <f>cal_ISO!D26</f>
        <v>10455.46</v>
      </c>
      <c r="F27" s="131">
        <f>cal_II!D26</f>
        <v>14522.59</v>
      </c>
    </row>
    <row r="28" spans="1:6" s="14" customFormat="1" ht="12.75">
      <c r="A28" s="66">
        <f t="shared" si="1"/>
        <v>21</v>
      </c>
      <c r="B28" s="13" t="s">
        <v>30</v>
      </c>
      <c r="C28" s="61">
        <f t="shared" si="0"/>
        <v>31975.12</v>
      </c>
      <c r="D28" s="53">
        <f>evaluare!D27</f>
        <v>15987.38</v>
      </c>
      <c r="E28" s="53">
        <f>cal_ISO!D27</f>
        <v>5816.28</v>
      </c>
      <c r="F28" s="131">
        <f>cal_II!D27</f>
        <v>10171.46</v>
      </c>
    </row>
    <row r="29" spans="1:6" s="14" customFormat="1" ht="12.75">
      <c r="A29" s="66">
        <f t="shared" si="1"/>
        <v>22</v>
      </c>
      <c r="B29" s="13" t="s">
        <v>41</v>
      </c>
      <c r="C29" s="61">
        <f t="shared" si="0"/>
        <v>28496.36</v>
      </c>
      <c r="D29" s="53">
        <f>evaluare!D28</f>
        <v>15586.34</v>
      </c>
      <c r="E29" s="53">
        <f>cal_ISO!D28</f>
        <v>7824.29</v>
      </c>
      <c r="F29" s="131">
        <f>cal_II!D28</f>
        <v>5085.73</v>
      </c>
    </row>
    <row r="30" spans="1:6" s="14" customFormat="1" ht="12.75">
      <c r="A30" s="66">
        <f t="shared" si="1"/>
        <v>23</v>
      </c>
      <c r="B30" s="13" t="s">
        <v>42</v>
      </c>
      <c r="C30" s="61">
        <f t="shared" si="0"/>
        <v>23259.519999999997</v>
      </c>
      <c r="D30" s="53">
        <f>evaluare!D29</f>
        <v>13822.73</v>
      </c>
      <c r="E30" s="53">
        <f>cal_ISO!D29</f>
        <v>4916.14</v>
      </c>
      <c r="F30" s="131">
        <f>cal_II!D29</f>
        <v>4520.65</v>
      </c>
    </row>
    <row r="31" spans="1:6" s="14" customFormat="1" ht="12.75">
      <c r="A31" s="66">
        <f t="shared" si="1"/>
        <v>24</v>
      </c>
      <c r="B31" s="20" t="s">
        <v>57</v>
      </c>
      <c r="C31" s="61">
        <f>SUM(D31:F31)</f>
        <v>17400.760000000002</v>
      </c>
      <c r="D31" s="53">
        <f>evaluare!D30</f>
        <v>7822.32</v>
      </c>
      <c r="E31" s="53">
        <f>cal_ISO!D30</f>
        <v>6300.97</v>
      </c>
      <c r="F31" s="131">
        <f>cal_II!D30</f>
        <v>3277.47</v>
      </c>
    </row>
    <row r="32" spans="1:6" s="14" customFormat="1" ht="24" customHeight="1">
      <c r="A32" s="66">
        <f t="shared" si="1"/>
        <v>25</v>
      </c>
      <c r="B32" s="13" t="s">
        <v>43</v>
      </c>
      <c r="C32" s="61">
        <f t="shared" si="0"/>
        <v>34681.19</v>
      </c>
      <c r="D32" s="53">
        <f>evaluare!D31</f>
        <v>21694.77</v>
      </c>
      <c r="E32" s="53">
        <f>cal_ISO!D31</f>
        <v>8239.74</v>
      </c>
      <c r="F32" s="131">
        <f>cal_II!D31</f>
        <v>4746.68</v>
      </c>
    </row>
    <row r="33" spans="1:6" s="64" customFormat="1" ht="24" customHeight="1">
      <c r="A33" s="66">
        <f t="shared" si="1"/>
        <v>26</v>
      </c>
      <c r="B33" s="13" t="s">
        <v>44</v>
      </c>
      <c r="C33" s="61">
        <f t="shared" si="0"/>
        <v>77094.97</v>
      </c>
      <c r="D33" s="53">
        <f>evaluare!D32</f>
        <v>51280.45</v>
      </c>
      <c r="E33" s="53">
        <f>cal_ISO!D32</f>
        <v>11009.39</v>
      </c>
      <c r="F33" s="131">
        <f>cal_II!D32</f>
        <v>14805.13</v>
      </c>
    </row>
    <row r="34" spans="1:6" s="64" customFormat="1" ht="12.75">
      <c r="A34" s="66">
        <f t="shared" si="1"/>
        <v>27</v>
      </c>
      <c r="B34" s="13" t="s">
        <v>45</v>
      </c>
      <c r="C34" s="61">
        <f t="shared" si="0"/>
        <v>21776.1</v>
      </c>
      <c r="D34" s="53">
        <f>evaluare!D33</f>
        <v>12996.3</v>
      </c>
      <c r="E34" s="53">
        <f>cal_ISO!D33</f>
        <v>4569.94</v>
      </c>
      <c r="F34" s="131">
        <f>cal_II!D33</f>
        <v>4209.86</v>
      </c>
    </row>
    <row r="35" spans="1:6" s="64" customFormat="1" ht="12.75">
      <c r="A35" s="66">
        <f t="shared" si="1"/>
        <v>28</v>
      </c>
      <c r="B35" s="13" t="s">
        <v>20</v>
      </c>
      <c r="C35" s="61">
        <f t="shared" si="0"/>
        <v>36282.09</v>
      </c>
      <c r="D35" s="53">
        <f>evaluare!D34</f>
        <v>17835.1</v>
      </c>
      <c r="E35" s="53">
        <f>cal_ISO!D34</f>
        <v>9970.77</v>
      </c>
      <c r="F35" s="131">
        <f>cal_II!D34</f>
        <v>8476.22</v>
      </c>
    </row>
    <row r="36" spans="1:6" s="14" customFormat="1" ht="12.75">
      <c r="A36" s="66">
        <f t="shared" si="1"/>
        <v>29</v>
      </c>
      <c r="B36" s="13" t="s">
        <v>17</v>
      </c>
      <c r="C36" s="61">
        <f>SUM(D36:F36)</f>
        <v>48583.15</v>
      </c>
      <c r="D36" s="53">
        <f>evaluare!D35</f>
        <v>25418.93</v>
      </c>
      <c r="E36" s="53">
        <f>cal_ISO!D35</f>
        <v>10732.43</v>
      </c>
      <c r="F36" s="131">
        <f>cal_II!D35</f>
        <v>12431.79</v>
      </c>
    </row>
    <row r="37" spans="1:6" s="64" customFormat="1" ht="12.75">
      <c r="A37" s="66">
        <f t="shared" si="1"/>
        <v>30</v>
      </c>
      <c r="B37" s="21" t="s">
        <v>46</v>
      </c>
      <c r="C37" s="61">
        <f t="shared" si="0"/>
        <v>36047.58</v>
      </c>
      <c r="D37" s="53">
        <f>evaluare!D36</f>
        <v>13032.17</v>
      </c>
      <c r="E37" s="53">
        <f>cal_ISO!D36</f>
        <v>9001.39</v>
      </c>
      <c r="F37" s="131">
        <f>cal_II!D36</f>
        <v>14014.02</v>
      </c>
    </row>
    <row r="38" spans="1:6" s="64" customFormat="1" ht="12.75">
      <c r="A38" s="66">
        <f t="shared" si="1"/>
        <v>31</v>
      </c>
      <c r="B38" s="20" t="s">
        <v>47</v>
      </c>
      <c r="C38" s="61">
        <f t="shared" si="0"/>
        <v>60887.899999999994</v>
      </c>
      <c r="D38" s="53">
        <f>evaluare!D37</f>
        <v>32342.68</v>
      </c>
      <c r="E38" s="53">
        <f>cal_ISO!D37</f>
        <v>10801.67</v>
      </c>
      <c r="F38" s="131">
        <f>cal_II!D37</f>
        <v>17743.55</v>
      </c>
    </row>
    <row r="39" spans="1:6" s="14" customFormat="1" ht="13.5" thickBot="1">
      <c r="A39" s="66">
        <f t="shared" si="1"/>
        <v>32</v>
      </c>
      <c r="B39" s="20" t="s">
        <v>18</v>
      </c>
      <c r="C39" s="61">
        <f t="shared" si="0"/>
        <v>49360.659999999996</v>
      </c>
      <c r="D39" s="53">
        <f>evaluare!D38</f>
        <v>25812.22</v>
      </c>
      <c r="E39" s="53">
        <f>cal_ISO!D38</f>
        <v>10593.95</v>
      </c>
      <c r="F39" s="131">
        <f>cal_II!D38</f>
        <v>12954.49</v>
      </c>
    </row>
    <row r="40" spans="1:6" s="54" customFormat="1" ht="15" customHeight="1" thickBot="1">
      <c r="A40" s="132"/>
      <c r="B40" s="133" t="s">
        <v>3</v>
      </c>
      <c r="C40" s="134">
        <f>SUM(C8:C39)</f>
        <v>1254932.4999999995</v>
      </c>
      <c r="D40" s="134">
        <f>SUM(D8:D39)</f>
        <v>627466.2400000001</v>
      </c>
      <c r="E40" s="134">
        <f>SUM(E8:E39)</f>
        <v>313733.13000000006</v>
      </c>
      <c r="F40" s="135">
        <f>SUM(F8:F39)</f>
        <v>313733.13</v>
      </c>
    </row>
    <row r="41" spans="3:6" s="14" customFormat="1" ht="12.75" hidden="1">
      <c r="C41" s="62" t="e">
        <f>#REF!/0.76</f>
        <v>#REF!</v>
      </c>
      <c r="D41" s="15" t="e">
        <f>#REF!/$C41</f>
        <v>#REF!</v>
      </c>
      <c r="E41" s="15" t="e">
        <f>#REF!/$C41</f>
        <v>#REF!</v>
      </c>
      <c r="F41" s="15" t="e">
        <f>#REF!/$C41</f>
        <v>#REF!</v>
      </c>
    </row>
    <row r="42" spans="3:6" s="14" customFormat="1" ht="12.75">
      <c r="C42" s="62"/>
      <c r="D42" s="15"/>
      <c r="E42" s="15"/>
      <c r="F42" s="15"/>
    </row>
    <row r="43" spans="2:6" s="54" customFormat="1" ht="12.75">
      <c r="B43" s="54" t="s">
        <v>10</v>
      </c>
      <c r="C43" s="62"/>
      <c r="D43" s="62">
        <f>evaluare!C43</f>
        <v>20.98</v>
      </c>
      <c r="E43" s="62">
        <f>cal_ISO!C42</f>
        <v>69.24</v>
      </c>
      <c r="F43" s="62">
        <f>cal_II!C42</f>
        <v>14.13</v>
      </c>
    </row>
    <row r="44" spans="3:6" s="14" customFormat="1" ht="12.75">
      <c r="C44" s="62"/>
      <c r="D44" s="15"/>
      <c r="E44" s="15"/>
      <c r="F44" s="15"/>
    </row>
  </sheetData>
  <sheetProtection/>
  <mergeCells count="2">
    <mergeCell ref="A5:B5"/>
    <mergeCell ref="A2:F2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2021-01-26T06:30:26Z</cp:lastPrinted>
  <dcterms:created xsi:type="dcterms:W3CDTF">2003-02-20T14:27:52Z</dcterms:created>
  <dcterms:modified xsi:type="dcterms:W3CDTF">2021-02-02T09:43:00Z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