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'cal_II'!$A$1:$D$43</definedName>
    <definedName name="_xlnm.Print_Area" localSheetId="1">'cal_ISO'!$A$1:$E$43</definedName>
    <definedName name="_xlnm.Print_Area" localSheetId="0">'evaluare'!$A$1:$D$44</definedName>
    <definedName name="_xlnm.Print_Area" localSheetId="3">'TOTAL'!$A$1:$F$44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<sst xmlns="http://schemas.openxmlformats.org/spreadsheetml/2006/main" count="172" uniqueCount="61">
  <si>
    <t>Nr.crt.</t>
  </si>
  <si>
    <t>FURNIZOR</t>
  </si>
  <si>
    <t>Fond alocat 1</t>
  </si>
  <si>
    <t>TOTAL</t>
  </si>
  <si>
    <t>VAL.PUNCT=</t>
  </si>
  <si>
    <t>FOND TOTAL ALOCAT LABORATOARE</t>
  </si>
  <si>
    <t>ANEXA NR.   2</t>
  </si>
  <si>
    <t>ANEXA NR.   3</t>
  </si>
  <si>
    <t>ANEXA NR.   4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</si>
  <si>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</si>
  <si>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</si>
  <si>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</si>
  <si>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</si>
  <si>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</si>
  <si>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</si>
  <si>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</si>
  <si>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</si>
  <si>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</si>
  <si>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</si>
  <si>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</si>
  <si>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</si>
  <si>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</si>
  <si>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</si>
  <si>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</si>
  <si>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</si>
  <si>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</si>
  <si>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</si>
  <si>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</si>
  <si>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</si>
  <si>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</si>
  <si>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</si>
  <si>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</si>
  <si>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</si>
  <si>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</si>
  <si>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</si>
  <si>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</si>
  <si>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</si>
  <si>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</si>
  <si>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</si>
  <si>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</si>
  <si>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</si>
  <si>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</si>
  <si>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</si>
  <si>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</si>
  <si>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</si>
  <si>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</si>
  <si>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</si>
  <si>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</si>
  <si>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</si>
  <si>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</si>
  <si>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</si>
  <si>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</si>
  <si>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Observatii</t>
  </si>
  <si>
    <t>(+18 pct - v. Referat Ev.Contractare 180/18.09.2018)</t>
  </si>
  <si>
    <t>puncte 2019</t>
  </si>
  <si>
    <t>BIODEV MEDICAL CENTER SRL - 2 pct.de lucru</t>
  </si>
  <si>
    <t>RECUMEDIS (fost  RED CLINIC )</t>
  </si>
  <si>
    <t>SPITALUL CLINIC DE RECUPERARE</t>
  </si>
  <si>
    <t>INSTITUTUL DE PSIHIATRIE SOCOLA</t>
  </si>
  <si>
    <t xml:space="preserve"> TOTAL CRITERII DE SELECTIE  - SERVICII PARACLINICE DE LABORATOR - MARTIE 2021</t>
  </si>
  <si>
    <t>26/02/2021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</si>
</sst>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54">
    <xf numFmtId="0" fontId="0" fillId="0" borderId="0" xfId="0" applyNumberFormat="1" applyBorder="1" applyAlignment="1">
      <alignment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14" xfId="58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vertical="center"/>
    </xf>
    <xf numFmtId="0" fontId="0" fillId="24" borderId="1" xfId="0" applyNumberFormat="1" applyFont="1" applyFill="1" applyBorder="1" applyAlignment="1">
      <alignment vertical="center" wrapText="1"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 wrapText="1"/>
      <protection/>
    </xf>
    <xf numFmtId="4" fontId="1" fillId="0" borderId="16" xfId="57" applyNumberFormat="1" applyFont="1" applyFill="1" applyBorder="1" applyAlignment="1">
      <alignment vertical="center"/>
      <protection/>
    </xf>
    <xf numFmtId="0" fontId="1" fillId="0" borderId="17" xfId="57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1" fillId="0" borderId="16" xfId="57" applyFont="1" applyFill="1" applyBorder="1" applyAlignment="1">
      <alignment vertical="center"/>
      <protection/>
    </xf>
    <xf numFmtId="2" fontId="11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0" fillId="24" borderId="1" xfId="59" applyNumberFormat="1" applyFont="1" applyFill="1" applyBorder="1" applyAlignment="1">
      <alignment vertical="center" wrapText="1"/>
      <protection/>
    </xf>
    <xf numFmtId="0" fontId="10" fillId="24" borderId="0" xfId="57" applyFont="1" applyFill="1" applyBorder="1" applyAlignment="1">
      <alignment vertical="center"/>
      <protection/>
    </xf>
    <xf numFmtId="0" fontId="12" fillId="24" borderId="0" xfId="57" applyFont="1" applyFill="1" applyAlignment="1">
      <alignment vertical="center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1" fontId="4" fillId="0" borderId="19" xfId="57" applyNumberFormat="1" applyFont="1" applyFill="1" applyBorder="1" applyAlignment="1">
      <alignment vertical="center" wrapText="1"/>
      <protection/>
    </xf>
    <xf numFmtId="1" fontId="4" fillId="0" borderId="17" xfId="57" applyNumberFormat="1" applyFont="1" applyFill="1" applyBorder="1" applyAlignment="1">
      <alignment horizontal="center" vertical="center" wrapText="1"/>
      <protection/>
    </xf>
    <xf numFmtId="3" fontId="4" fillId="0" borderId="17" xfId="57" applyNumberFormat="1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vertical="center" wrapText="1"/>
      <protection/>
    </xf>
    <xf numFmtId="0" fontId="1" fillId="0" borderId="20" xfId="57" applyFont="1" applyFill="1" applyBorder="1" applyAlignment="1">
      <alignment vertical="center"/>
      <protection/>
    </xf>
    <xf numFmtId="1" fontId="1" fillId="0" borderId="19" xfId="57" applyNumberFormat="1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horizontal="center" vertical="center"/>
      <protection/>
    </xf>
    <xf numFmtId="4" fontId="10" fillId="24" borderId="0" xfId="57" applyNumberFormat="1" applyFont="1" applyFill="1" applyBorder="1" applyAlignment="1">
      <alignment vertical="center"/>
      <protection/>
    </xf>
    <xf numFmtId="1" fontId="1" fillId="0" borderId="19" xfId="57" applyNumberFormat="1" applyFont="1" applyFill="1" applyBorder="1" applyAlignment="1">
      <alignment vertical="center" wrapText="1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1" fontId="4" fillId="0" borderId="21" xfId="57" applyNumberFormat="1" applyFont="1" applyFill="1" applyBorder="1" applyAlignment="1">
      <alignment horizontal="center" vertical="center" wrapText="1"/>
      <protection/>
    </xf>
    <xf numFmtId="4" fontId="1" fillId="0" borderId="20" xfId="57" applyNumberFormat="1" applyFont="1" applyFill="1" applyBorder="1" applyAlignment="1">
      <alignment horizontal="center" vertical="center" wrapText="1"/>
      <protection/>
    </xf>
    <xf numFmtId="0" fontId="0" fillId="0" borderId="22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23" xfId="57" applyNumberFormat="1" applyFont="1" applyFill="1" applyBorder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12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1" fontId="1" fillId="0" borderId="21" xfId="57" applyNumberFormat="1" applyFont="1" applyFill="1" applyBorder="1" applyAlignment="1">
      <alignment horizontal="center" vertical="center" wrapText="1"/>
      <protection/>
    </xf>
    <xf numFmtId="4" fontId="1" fillId="0" borderId="27" xfId="57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" xfId="58" applyNumberFormat="1" applyFont="1" applyFill="1" applyBorder="1" applyAlignment="1">
      <alignment horizontal="center" vertical="center" wrapText="1"/>
      <protection/>
    </xf>
    <xf numFmtId="1" fontId="4" fillId="0" borderId="1" xfId="57" applyNumberFormat="1" applyFont="1" applyFill="1" applyBorder="1" applyAlignment="1">
      <alignment horizontal="center" vertical="center" wrapText="1"/>
      <protection/>
    </xf>
    <xf numFmtId="1" fontId="4" fillId="0" borderId="0" xfId="57" applyNumberFormat="1" applyFont="1" applyFill="1" applyAlignment="1">
      <alignment horizontal="center" vertical="center" wrapText="1"/>
      <protection/>
    </xf>
    <xf numFmtId="4" fontId="0" fillId="0" borderId="28" xfId="57" applyNumberFormat="1" applyFont="1" applyFill="1" applyBorder="1" applyAlignment="1">
      <alignment horizontal="right" vertical="center"/>
      <protection/>
    </xf>
    <xf numFmtId="4" fontId="1" fillId="0" borderId="29" xfId="57" applyNumberFormat="1" applyFont="1" applyFill="1" applyBorder="1" applyAlignment="1">
      <alignment horizontal="center" vertical="center" wrapText="1"/>
      <protection/>
    </xf>
    <xf numFmtId="1" fontId="4" fillId="0" borderId="24" xfId="57" applyNumberFormat="1" applyFont="1" applyFill="1" applyBorder="1" applyAlignment="1">
      <alignment horizontal="center" vertical="center" wrapText="1"/>
      <protection/>
    </xf>
    <xf numFmtId="4" fontId="0" fillId="0" borderId="24" xfId="57" applyNumberFormat="1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0" fontId="1" fillId="0" borderId="17" xfId="57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32" fillId="0" borderId="1" xfId="57" applyNumberFormat="1" applyFont="1" applyFill="1" applyBorder="1" applyAlignment="1">
      <alignment vertical="center"/>
      <protection/>
    </xf>
    <xf numFmtId="4" fontId="32" fillId="0" borderId="30" xfId="57" applyNumberFormat="1" applyFont="1" applyFill="1" applyBorder="1" applyAlignment="1">
      <alignment vertical="center"/>
      <protection/>
    </xf>
    <xf numFmtId="0" fontId="13" fillId="24" borderId="30" xfId="0" applyNumberFormat="1" applyFont="1" applyFill="1" applyBorder="1" applyAlignment="1">
      <alignment vertical="center" wrapText="1"/>
    </xf>
    <xf numFmtId="0" fontId="13" fillId="24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2" fontId="13" fillId="24" borderId="1" xfId="59" applyNumberFormat="1" applyFont="1" applyFill="1" applyBorder="1" applyAlignment="1">
      <alignment vertical="center" wrapText="1"/>
      <protection/>
    </xf>
    <xf numFmtId="4" fontId="1" fillId="0" borderId="26" xfId="57" applyNumberFormat="1" applyFont="1" applyFill="1" applyBorder="1" applyAlignment="1">
      <alignment horizontal="center" vertical="center" wrapText="1"/>
      <protection/>
    </xf>
    <xf numFmtId="1" fontId="1" fillId="0" borderId="21" xfId="57" applyNumberFormat="1" applyFont="1" applyFill="1" applyBorder="1" applyAlignment="1">
      <alignment horizontal="center" vertical="center"/>
      <protection/>
    </xf>
    <xf numFmtId="4" fontId="0" fillId="0" borderId="31" xfId="57" applyNumberFormat="1" applyFont="1" applyFill="1" applyBorder="1" applyAlignment="1">
      <alignment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0" fillId="24" borderId="32" xfId="57" applyNumberFormat="1" applyFont="1" applyFill="1" applyBorder="1" applyAlignment="1">
      <alignment vertical="center" wrapText="1"/>
      <protection/>
    </xf>
    <xf numFmtId="4" fontId="1" fillId="0" borderId="32" xfId="57" applyNumberFormat="1" applyFont="1" applyFill="1" applyBorder="1" applyAlignment="1">
      <alignment vertical="center"/>
      <protection/>
    </xf>
    <xf numFmtId="4" fontId="1" fillId="0" borderId="33" xfId="57" applyNumberFormat="1" applyFont="1" applyFill="1" applyBorder="1" applyAlignment="1">
      <alignment vertical="center"/>
      <protection/>
    </xf>
    <xf numFmtId="4" fontId="1" fillId="0" borderId="34" xfId="57" applyNumberFormat="1" applyFont="1" applyFill="1" applyBorder="1" applyAlignment="1">
      <alignment horizontal="center" vertical="center"/>
      <protection/>
    </xf>
    <xf numFmtId="1" fontId="1" fillId="0" borderId="34" xfId="57" applyNumberFormat="1" applyFont="1" applyFill="1" applyBorder="1" applyAlignment="1">
      <alignment horizontal="center" vertical="center" wrapText="1"/>
      <protection/>
    </xf>
    <xf numFmtId="4" fontId="0" fillId="0" borderId="35" xfId="57" applyNumberFormat="1" applyFont="1" applyFill="1" applyBorder="1" applyAlignment="1">
      <alignment vertical="center"/>
      <protection/>
    </xf>
    <xf numFmtId="4" fontId="0" fillId="0" borderId="36" xfId="57" applyNumberFormat="1" applyFont="1" applyFill="1" applyBorder="1" applyAlignment="1">
      <alignment vertical="center"/>
      <protection/>
    </xf>
    <xf numFmtId="4" fontId="1" fillId="0" borderId="37" xfId="57" applyNumberFormat="1" applyFont="1" applyFill="1" applyBorder="1" applyAlignment="1">
      <alignment vertical="center"/>
      <protection/>
    </xf>
    <xf numFmtId="3" fontId="14" fillId="24" borderId="1" xfId="0" applyFont="1" applyFill="1" applyBorder="1" applyAlignment="1">
      <alignment vertical="center" wrapText="1"/>
    </xf>
    <xf numFmtId="4" fontId="33" fillId="21" borderId="1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11" fillId="0" borderId="0" xfId="57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2" fontId="6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20" xfId="57" applyFont="1" applyFill="1" applyBorder="1" applyAlignment="1">
      <alignment horizontal="center" vertical="center"/>
      <protection/>
    </xf>
    <xf numFmtId="4" fontId="1" fillId="0" borderId="26" xfId="57" applyNumberFormat="1" applyFont="1" applyFill="1" applyBorder="1" applyAlignment="1">
      <alignment horizontal="center" vertical="center"/>
      <protection/>
    </xf>
    <xf numFmtId="0" fontId="0" fillId="24" borderId="22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3" fontId="13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3" fontId="1" fillId="0" borderId="25" xfId="57" applyNumberFormat="1" applyFont="1" applyFill="1" applyBorder="1" applyAlignment="1">
      <alignment horizontal="center"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4" fontId="0" fillId="0" borderId="30" xfId="57" applyNumberFormat="1" applyFont="1" applyFill="1" applyBorder="1" applyAlignment="1">
      <alignment vertical="center"/>
      <protection/>
    </xf>
    <xf numFmtId="0" fontId="0" fillId="0" borderId="38" xfId="57" applyFont="1" applyFill="1" applyBorder="1" applyAlignment="1">
      <alignment vertical="center"/>
      <protection/>
    </xf>
    <xf numFmtId="0" fontId="0" fillId="0" borderId="19" xfId="57" applyFont="1" applyFill="1" applyBorder="1" applyAlignment="1">
      <alignment vertical="center"/>
      <protection/>
    </xf>
    <xf numFmtId="4" fontId="1" fillId="20" borderId="24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39" xfId="57" applyNumberFormat="1" applyFont="1" applyFill="1" applyBorder="1" applyAlignment="1">
      <alignment horizontal="center" vertical="center"/>
      <protection/>
    </xf>
    <xf numFmtId="4" fontId="1" fillId="0" borderId="4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zoomScalePageLayoutView="0" workbookViewId="0" topLeftCell="A26">
      <selection activeCell="A45" sqref="A45:IV46"/>
    </sheetView>
  </sheetViews>
  <sheetFormatPr defaultColWidth="9.140625" defaultRowHeight="12.75"/>
  <cols>
    <col min="1" max="1" width="3.7109375" style="20" customWidth="1"/>
    <col min="2" max="2" width="54.00390625" style="136" customWidth="1"/>
    <col min="3" max="3" width="20.8515625" style="137" customWidth="1"/>
    <col min="4" max="4" width="20.8515625" style="78" customWidth="1"/>
    <col min="5" max="5" width="9.140625" style="20" customWidth="1"/>
    <col min="6" max="6" width="8.421875" style="20" customWidth="1"/>
    <col min="7" max="8" width="12.8515625" style="20" customWidth="1"/>
    <col min="9" max="16384" width="9.140625" style="20" customWidth="1"/>
  </cols>
  <sheetData>
    <row r="1" spans="1:4" s="116" customFormat="1" ht="14.25" customHeight="1">
      <c r="A1" s="145" t="s">
        <v>24</v>
      </c>
      <c r="B1" s="145"/>
      <c r="C1" s="145"/>
      <c r="D1" s="145"/>
    </row>
    <row r="2" spans="2:4" s="29" customFormat="1" ht="15">
      <c r="B2" s="119"/>
      <c r="C2" s="120"/>
      <c r="D2" s="121"/>
    </row>
    <row r="3" spans="2:4" s="29" customFormat="1" ht="15">
      <c r="B3" s="119"/>
      <c r="C3" s="120"/>
      <c r="D3" s="122" t="s">
        <v>6</v>
      </c>
    </row>
    <row r="4" spans="1:3" s="29" customFormat="1" ht="36" customHeight="1" thickBot="1">
      <c r="A4" s="143" t="s">
        <v>60</v>
      </c>
      <c r="B4" s="144"/>
      <c r="C4" s="120"/>
    </row>
    <row r="5" spans="1:4" s="72" customFormat="1" ht="27" thickBot="1">
      <c r="A5" s="55" t="s">
        <v>0</v>
      </c>
      <c r="B5" s="123" t="s">
        <v>1</v>
      </c>
      <c r="C5" s="67" t="s">
        <v>54</v>
      </c>
      <c r="D5" s="124" t="s">
        <v>2</v>
      </c>
    </row>
    <row r="6" spans="1:4" s="25" customFormat="1" ht="21" thickBot="1">
      <c r="A6" s="56">
        <v>0</v>
      </c>
      <c r="B6" s="57">
        <v>1</v>
      </c>
      <c r="C6" s="58">
        <v>2</v>
      </c>
      <c r="D6" s="66" t="s">
        <v>9</v>
      </c>
    </row>
    <row r="7" spans="1:20" s="126" customFormat="1" ht="18" customHeight="1">
      <c r="A7" s="125">
        <v>1</v>
      </c>
      <c r="B7" s="98" t="s">
        <v>11</v>
      </c>
      <c r="C7" s="97">
        <f>859.32+25.2+4.8+30-12.5-15</f>
        <v>891.82</v>
      </c>
      <c r="D7" s="88">
        <f aca="true" t="shared" si="0" ref="D7:D13">ROUND(C7/C$39*C$40,2)</f>
        <v>18711.28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s="126" customFormat="1" ht="18" customHeight="1">
      <c r="A8" s="127">
        <f>A7+1</f>
        <v>2</v>
      </c>
      <c r="B8" s="99" t="s">
        <v>55</v>
      </c>
      <c r="C8" s="96">
        <v>1210.6</v>
      </c>
      <c r="D8" s="73">
        <f t="shared" si="0"/>
        <v>25399.61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s="126" customFormat="1" ht="18" customHeight="1">
      <c r="A9" s="127">
        <f aca="true" t="shared" si="1" ref="A9:A38">A8+1</f>
        <v>3</v>
      </c>
      <c r="B9" s="99" t="s">
        <v>36</v>
      </c>
      <c r="C9" s="96">
        <v>736.1</v>
      </c>
      <c r="D9" s="75">
        <f t="shared" si="0"/>
        <v>15444.12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s="21" customFormat="1" ht="63" customHeight="1">
      <c r="A10" s="127">
        <f t="shared" si="1"/>
        <v>4</v>
      </c>
      <c r="B10" s="100" t="s">
        <v>12</v>
      </c>
      <c r="C10" s="115">
        <f>1392+57-40+40+15-8+8</f>
        <v>1464</v>
      </c>
      <c r="D10" s="75">
        <f t="shared" si="0"/>
        <v>30716.19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s="126" customFormat="1" ht="18" customHeight="1">
      <c r="A11" s="127">
        <f t="shared" si="1"/>
        <v>5</v>
      </c>
      <c r="B11" s="99" t="s">
        <v>13</v>
      </c>
      <c r="C11" s="96">
        <f>509.4+20</f>
        <v>529.4</v>
      </c>
      <c r="D11" s="75">
        <f t="shared" si="0"/>
        <v>11107.35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20" s="126" customFormat="1" ht="18" customHeight="1">
      <c r="A12" s="127">
        <f t="shared" si="1"/>
        <v>6</v>
      </c>
      <c r="B12" s="128" t="s">
        <v>58</v>
      </c>
      <c r="C12" s="96">
        <f>666.6</f>
        <v>666.6</v>
      </c>
      <c r="D12" s="75">
        <f>ROUND(C12/C$39*C$40,2)-0.01</f>
        <v>13985.93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21" customFormat="1" ht="18" customHeight="1">
      <c r="A13" s="127">
        <f t="shared" si="1"/>
        <v>7</v>
      </c>
      <c r="B13" s="101" t="s">
        <v>51</v>
      </c>
      <c r="C13" s="96">
        <v>1547</v>
      </c>
      <c r="D13" s="75">
        <f t="shared" si="0"/>
        <v>32457.62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s="126" customFormat="1" ht="42.75" customHeight="1">
      <c r="A14" s="127">
        <f t="shared" si="1"/>
        <v>8</v>
      </c>
      <c r="B14" s="99" t="s">
        <v>37</v>
      </c>
      <c r="C14" s="96">
        <f>3330.8+34-40-15+24-40+30+20+15-4+8</f>
        <v>3362.8</v>
      </c>
      <c r="D14" s="75">
        <f>ROUND(C14/C$39*C$40,2)</f>
        <v>70554.93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s="21" customFormat="1" ht="18" customHeight="1">
      <c r="A15" s="127">
        <f t="shared" si="1"/>
        <v>9</v>
      </c>
      <c r="B15" s="99" t="s">
        <v>50</v>
      </c>
      <c r="C15" s="96">
        <f>428.2-10</f>
        <v>418.2</v>
      </c>
      <c r="D15" s="75">
        <f aca="true" t="shared" si="2" ref="D15:D38">ROUND(C15/C$39*C$40,2)</f>
        <v>8774.26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s="126" customFormat="1" ht="18" customHeight="1">
      <c r="A16" s="127">
        <f t="shared" si="1"/>
        <v>10</v>
      </c>
      <c r="B16" s="99" t="s">
        <v>38</v>
      </c>
      <c r="C16" s="96">
        <v>374.3</v>
      </c>
      <c r="D16" s="75">
        <f t="shared" si="2"/>
        <v>7853.19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s="126" customFormat="1" ht="18" customHeight="1">
      <c r="A17" s="127">
        <f t="shared" si="1"/>
        <v>11</v>
      </c>
      <c r="B17" s="99" t="s">
        <v>39</v>
      </c>
      <c r="C17" s="70">
        <f>370.25+41</f>
        <v>411.25</v>
      </c>
      <c r="D17" s="75">
        <f t="shared" si="2"/>
        <v>8628.44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s="126" customFormat="1" ht="18" customHeight="1">
      <c r="A18" s="127">
        <f t="shared" si="1"/>
        <v>12</v>
      </c>
      <c r="B18" s="99" t="s">
        <v>23</v>
      </c>
      <c r="C18" s="96">
        <f>847.5-30-45+40+40-25-15+15</f>
        <v>827.5</v>
      </c>
      <c r="D18" s="75">
        <f t="shared" si="2"/>
        <v>17361.78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s="126" customFormat="1" ht="18" customHeight="1">
      <c r="A19" s="127">
        <f t="shared" si="1"/>
        <v>13</v>
      </c>
      <c r="B19" s="99" t="s">
        <v>14</v>
      </c>
      <c r="C19" s="96">
        <f>684.36-20</f>
        <v>664.36</v>
      </c>
      <c r="D19" s="75">
        <f t="shared" si="2"/>
        <v>13938.94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s="126" customFormat="1" ht="18" customHeight="1">
      <c r="A20" s="127">
        <f t="shared" si="1"/>
        <v>14</v>
      </c>
      <c r="B20" s="99" t="s">
        <v>15</v>
      </c>
      <c r="C20" s="96">
        <f>560.4+45+110-15</f>
        <v>700.4</v>
      </c>
      <c r="D20" s="75">
        <f t="shared" si="2"/>
        <v>14695.1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s="21" customFormat="1" ht="18" customHeight="1">
      <c r="A21" s="127">
        <f t="shared" si="1"/>
        <v>15</v>
      </c>
      <c r="B21" s="99" t="s">
        <v>48</v>
      </c>
      <c r="C21" s="96">
        <f>387.48+15</f>
        <v>402.48</v>
      </c>
      <c r="D21" s="75">
        <f t="shared" si="2"/>
        <v>8444.44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s="126" customFormat="1" ht="18" customHeight="1">
      <c r="A22" s="127">
        <f t="shared" si="1"/>
        <v>16</v>
      </c>
      <c r="B22" s="99" t="s">
        <v>40</v>
      </c>
      <c r="C22" s="96">
        <v>487</v>
      </c>
      <c r="D22" s="75">
        <f t="shared" si="2"/>
        <v>10217.75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s="53" customFormat="1" ht="18" customHeight="1">
      <c r="A23" s="127">
        <f t="shared" si="1"/>
        <v>17</v>
      </c>
      <c r="B23" s="99" t="s">
        <v>16</v>
      </c>
      <c r="C23" s="96">
        <v>364.4</v>
      </c>
      <c r="D23" s="75">
        <f t="shared" si="2"/>
        <v>7645.48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s="126" customFormat="1" ht="18" customHeight="1">
      <c r="A24" s="127">
        <f t="shared" si="1"/>
        <v>18</v>
      </c>
      <c r="B24" s="99" t="s">
        <v>56</v>
      </c>
      <c r="C24" s="96">
        <f>677-10+10</f>
        <v>677</v>
      </c>
      <c r="D24" s="75">
        <f t="shared" si="2"/>
        <v>14204.14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s="21" customFormat="1" ht="18" customHeight="1">
      <c r="A25" s="127">
        <f t="shared" si="1"/>
        <v>19</v>
      </c>
      <c r="B25" s="99" t="s">
        <v>49</v>
      </c>
      <c r="C25" s="96">
        <v>681.4</v>
      </c>
      <c r="D25" s="75">
        <f t="shared" si="2"/>
        <v>14296.46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s="21" customFormat="1" ht="24" customHeight="1">
      <c r="A26" s="127">
        <f t="shared" si="1"/>
        <v>20</v>
      </c>
      <c r="B26" s="99" t="s">
        <v>19</v>
      </c>
      <c r="C26" s="96">
        <f>1391+15</f>
        <v>1406</v>
      </c>
      <c r="D26" s="75">
        <f t="shared" si="2"/>
        <v>29499.3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s="21" customFormat="1" ht="18" customHeight="1">
      <c r="A27" s="127">
        <f t="shared" si="1"/>
        <v>21</v>
      </c>
      <c r="B27" s="99" t="s">
        <v>30</v>
      </c>
      <c r="C27" s="96">
        <v>762.2</v>
      </c>
      <c r="D27" s="75">
        <f t="shared" si="2"/>
        <v>15991.72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s="21" customFormat="1" ht="18" customHeight="1">
      <c r="A28" s="127">
        <f t="shared" si="1"/>
        <v>22</v>
      </c>
      <c r="B28" s="99" t="s">
        <v>41</v>
      </c>
      <c r="C28" s="96">
        <v>743.08</v>
      </c>
      <c r="D28" s="75">
        <f t="shared" si="2"/>
        <v>15590.57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s="21" customFormat="1" ht="18" customHeight="1">
      <c r="A29" s="127">
        <f t="shared" si="1"/>
        <v>23</v>
      </c>
      <c r="B29" s="99" t="s">
        <v>42</v>
      </c>
      <c r="C29" s="96">
        <f>699-40</f>
        <v>659</v>
      </c>
      <c r="D29" s="75">
        <f t="shared" si="2"/>
        <v>13826.48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s="2" customFormat="1" ht="18" customHeight="1">
      <c r="A30" s="127">
        <f t="shared" si="1"/>
        <v>24</v>
      </c>
      <c r="B30" s="100" t="s">
        <v>57</v>
      </c>
      <c r="C30" s="96">
        <v>372.92999999999995</v>
      </c>
      <c r="D30" s="75">
        <f t="shared" si="2"/>
        <v>7824.45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21" customFormat="1" ht="18" customHeight="1">
      <c r="A31" s="127">
        <f t="shared" si="1"/>
        <v>25</v>
      </c>
      <c r="B31" s="99" t="s">
        <v>43</v>
      </c>
      <c r="C31" s="96">
        <f>1024.3+10</f>
        <v>1034.3</v>
      </c>
      <c r="D31" s="75">
        <f t="shared" si="2"/>
        <v>21700.66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s="21" customFormat="1" ht="30" customHeight="1">
      <c r="A32" s="127">
        <f t="shared" si="1"/>
        <v>26</v>
      </c>
      <c r="B32" s="99" t="s">
        <v>44</v>
      </c>
      <c r="C32" s="96">
        <f>2320.6+15+30+49.2+30</f>
        <v>2444.7999999999997</v>
      </c>
      <c r="D32" s="75">
        <f t="shared" si="2"/>
        <v>51294.37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s="21" customFormat="1" ht="18" customHeight="1">
      <c r="A33" s="127">
        <f t="shared" si="1"/>
        <v>27</v>
      </c>
      <c r="B33" s="99" t="s">
        <v>45</v>
      </c>
      <c r="C33" s="96">
        <f>584.7+2.5+32.4</f>
        <v>619.6</v>
      </c>
      <c r="D33" s="75">
        <f t="shared" si="2"/>
        <v>12999.83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s="54" customFormat="1" ht="18" customHeight="1">
      <c r="A34" s="127">
        <f t="shared" si="1"/>
        <v>28</v>
      </c>
      <c r="B34" s="99" t="s">
        <v>20</v>
      </c>
      <c r="C34" s="96">
        <f>865.29-15</f>
        <v>850.29</v>
      </c>
      <c r="D34" s="75">
        <f t="shared" si="2"/>
        <v>17839.94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s="21" customFormat="1" ht="19.5" customHeight="1">
      <c r="A35" s="127">
        <f t="shared" si="1"/>
        <v>29</v>
      </c>
      <c r="B35" s="99" t="s">
        <v>17</v>
      </c>
      <c r="C35" s="96">
        <f>929.85+15+152+115</f>
        <v>1211.85</v>
      </c>
      <c r="D35" s="75">
        <f t="shared" si="2"/>
        <v>25425.83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 s="21" customFormat="1" ht="18" customHeight="1">
      <c r="A36" s="127">
        <f t="shared" si="1"/>
        <v>30</v>
      </c>
      <c r="B36" s="99" t="s">
        <v>46</v>
      </c>
      <c r="C36" s="96">
        <v>621.31</v>
      </c>
      <c r="D36" s="75">
        <f t="shared" si="2"/>
        <v>13035.71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 ht="20.25" customHeight="1">
      <c r="A37" s="127">
        <f t="shared" si="1"/>
        <v>31</v>
      </c>
      <c r="B37" s="100" t="s">
        <v>47</v>
      </c>
      <c r="C37" s="96">
        <f>1549.14-7.2</f>
        <v>1541.94</v>
      </c>
      <c r="D37" s="75">
        <f t="shared" si="2"/>
        <v>32351.45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1:20" ht="18" customHeight="1">
      <c r="A38" s="127">
        <f t="shared" si="1"/>
        <v>32</v>
      </c>
      <c r="B38" s="100" t="s">
        <v>18</v>
      </c>
      <c r="C38" s="96">
        <v>1230.6</v>
      </c>
      <c r="D38" s="75">
        <f t="shared" si="2"/>
        <v>25819.23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1:20" ht="18" customHeight="1">
      <c r="A39" s="22"/>
      <c r="B39" s="129" t="s">
        <v>3</v>
      </c>
      <c r="C39" s="6">
        <f>SUM(C7:C38)</f>
        <v>29914.51</v>
      </c>
      <c r="D39" s="6">
        <f>SUM(D7:D38)</f>
        <v>627636.5499999998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1:20" ht="12.75">
      <c r="A40" s="22"/>
      <c r="B40" s="130" t="s">
        <v>21</v>
      </c>
      <c r="C40" s="6">
        <f>C41*0.5</f>
        <v>627636.545</v>
      </c>
      <c r="D40" s="74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1:4" ht="13.5" thickBot="1">
      <c r="A41" s="23"/>
      <c r="B41" s="131" t="s">
        <v>5</v>
      </c>
      <c r="C41" s="132">
        <v>1255273.09</v>
      </c>
      <c r="D41" s="133"/>
    </row>
    <row r="42" spans="2:4" ht="12.75">
      <c r="B42" s="19"/>
      <c r="C42" s="4"/>
      <c r="D42" s="24"/>
    </row>
    <row r="43" spans="2:4" ht="12.75">
      <c r="B43" s="19" t="s">
        <v>4</v>
      </c>
      <c r="C43" s="4">
        <f>ROUND(C40/C39,2)</f>
        <v>20.98</v>
      </c>
      <c r="D43" s="24"/>
    </row>
    <row r="44" spans="2:4" ht="12.75">
      <c r="B44" s="19"/>
      <c r="C44" s="4"/>
      <c r="D44" s="24"/>
    </row>
    <row r="45" spans="2:4" ht="12.75">
      <c r="B45" s="134"/>
      <c r="C45" s="135"/>
      <c r="D45" s="24"/>
    </row>
    <row r="46" spans="2:4" ht="12.75">
      <c r="B46" s="134"/>
      <c r="C46" s="135"/>
      <c r="D46" s="24"/>
    </row>
    <row r="47" spans="2:4" ht="12.75">
      <c r="B47" s="134"/>
      <c r="C47" s="135"/>
      <c r="D47" s="24"/>
    </row>
    <row r="48" spans="2:4" ht="12.75">
      <c r="B48" s="134"/>
      <c r="C48" s="135"/>
      <c r="D48" s="24"/>
    </row>
  </sheetData>
  <sheetProtection/>
  <mergeCells count="2">
    <mergeCell ref="A4:B4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21">
      <selection activeCell="A44" sqref="A44:IV45"/>
    </sheetView>
  </sheetViews>
  <sheetFormatPr defaultColWidth="9.140625" defaultRowHeight="12.75"/>
  <cols>
    <col min="1" max="1" width="3.57421875" style="20" customWidth="1"/>
    <col min="2" max="2" width="38.28125" style="20" customWidth="1"/>
    <col min="3" max="3" width="17.421875" style="2" customWidth="1"/>
    <col min="4" max="4" width="25.140625" style="20" customWidth="1"/>
    <col min="5" max="5" width="28.140625" style="20" hidden="1" customWidth="1"/>
    <col min="6" max="16384" width="9.140625" style="20" customWidth="1"/>
  </cols>
  <sheetData>
    <row r="1" spans="1:5" s="116" customFormat="1" ht="13.5">
      <c r="A1" s="148" t="s">
        <v>25</v>
      </c>
      <c r="B1" s="149"/>
      <c r="C1" s="149"/>
      <c r="D1" s="149"/>
      <c r="E1" s="118"/>
    </row>
    <row r="2" s="29" customFormat="1" ht="15"/>
    <row r="3" s="29" customFormat="1" ht="15">
      <c r="C3" s="138"/>
    </row>
    <row r="4" spans="2:5" s="29" customFormat="1" ht="15.75" thickBot="1">
      <c r="B4" s="143" t="str">
        <f>evaluare!A4</f>
        <v>26/02/2021</v>
      </c>
      <c r="C4" s="144"/>
      <c r="D4" s="122" t="s">
        <v>7</v>
      </c>
      <c r="E4" s="122"/>
    </row>
    <row r="5" spans="1:5" s="2" customFormat="1" ht="39.75" thickBot="1">
      <c r="A5" s="59" t="s">
        <v>0</v>
      </c>
      <c r="B5" s="60" t="s">
        <v>1</v>
      </c>
      <c r="C5" s="102" t="s">
        <v>54</v>
      </c>
      <c r="D5" s="109" t="s">
        <v>31</v>
      </c>
      <c r="E5" s="146" t="s">
        <v>52</v>
      </c>
    </row>
    <row r="6" spans="1:5" s="3" customFormat="1" ht="27" thickBot="1">
      <c r="A6" s="61">
        <v>0</v>
      </c>
      <c r="B6" s="62">
        <v>1</v>
      </c>
      <c r="C6" s="103">
        <v>2</v>
      </c>
      <c r="D6" s="110" t="s">
        <v>32</v>
      </c>
      <c r="E6" s="147"/>
    </row>
    <row r="7" spans="1:5" ht="12.75">
      <c r="A7" s="68">
        <v>1</v>
      </c>
      <c r="B7" s="98" t="s">
        <v>11</v>
      </c>
      <c r="C7" s="73">
        <v>138</v>
      </c>
      <c r="D7" s="111">
        <f aca="true" t="shared" si="0" ref="D7:D14">ROUND(C7/C$39*C$40,2)</f>
        <v>9549.49</v>
      </c>
      <c r="E7" s="104"/>
    </row>
    <row r="8" spans="1:5" ht="12.75">
      <c r="A8" s="69">
        <f>A7+1</f>
        <v>2</v>
      </c>
      <c r="B8" s="99" t="s">
        <v>55</v>
      </c>
      <c r="C8" s="75">
        <v>456</v>
      </c>
      <c r="D8" s="112">
        <f t="shared" si="0"/>
        <v>31554.82</v>
      </c>
      <c r="E8" s="105"/>
    </row>
    <row r="9" spans="1:5" ht="12.75">
      <c r="A9" s="69">
        <f aca="true" t="shared" si="1" ref="A9:A38">A8+1</f>
        <v>3</v>
      </c>
      <c r="B9" s="99" t="s">
        <v>36</v>
      </c>
      <c r="C9" s="75">
        <v>122</v>
      </c>
      <c r="D9" s="112">
        <f t="shared" si="0"/>
        <v>8442.3</v>
      </c>
      <c r="E9" s="105"/>
    </row>
    <row r="10" spans="1:5" ht="12.75">
      <c r="A10" s="69">
        <f t="shared" si="1"/>
        <v>4</v>
      </c>
      <c r="B10" s="99" t="s">
        <v>12</v>
      </c>
      <c r="C10" s="75">
        <v>150</v>
      </c>
      <c r="D10" s="112">
        <f t="shared" si="0"/>
        <v>10379.88</v>
      </c>
      <c r="E10" s="105"/>
    </row>
    <row r="11" spans="1:5" ht="12.75">
      <c r="A11" s="69">
        <f t="shared" si="1"/>
        <v>5</v>
      </c>
      <c r="B11" s="99" t="s">
        <v>13</v>
      </c>
      <c r="C11" s="75">
        <v>123</v>
      </c>
      <c r="D11" s="112">
        <f t="shared" si="0"/>
        <v>8511.5</v>
      </c>
      <c r="E11" s="105"/>
    </row>
    <row r="12" spans="1:5" ht="12.75">
      <c r="A12" s="69">
        <f t="shared" si="1"/>
        <v>6</v>
      </c>
      <c r="B12" s="128" t="s">
        <v>58</v>
      </c>
      <c r="C12" s="75">
        <f>101</f>
        <v>101</v>
      </c>
      <c r="D12" s="112">
        <f t="shared" si="0"/>
        <v>6989.12</v>
      </c>
      <c r="E12" s="105"/>
    </row>
    <row r="13" spans="1:5" ht="12.75">
      <c r="A13" s="69">
        <f t="shared" si="1"/>
        <v>7</v>
      </c>
      <c r="B13" s="101" t="s">
        <v>51</v>
      </c>
      <c r="C13" s="75">
        <v>278</v>
      </c>
      <c r="D13" s="112">
        <f t="shared" si="0"/>
        <v>19237.37</v>
      </c>
      <c r="E13" s="105"/>
    </row>
    <row r="14" spans="1:5" ht="12.75">
      <c r="A14" s="69">
        <f t="shared" si="1"/>
        <v>8</v>
      </c>
      <c r="B14" s="99" t="s">
        <v>37</v>
      </c>
      <c r="C14" s="75">
        <v>161</v>
      </c>
      <c r="D14" s="112">
        <f t="shared" si="0"/>
        <v>11141.07</v>
      </c>
      <c r="E14" s="105"/>
    </row>
    <row r="15" spans="1:5" ht="22.5">
      <c r="A15" s="69">
        <f t="shared" si="1"/>
        <v>9</v>
      </c>
      <c r="B15" s="99" t="s">
        <v>50</v>
      </c>
      <c r="C15" s="75">
        <v>71</v>
      </c>
      <c r="D15" s="112">
        <f aca="true" t="shared" si="2" ref="D15:D38">ROUND(C15/C$39*C$40,2)</f>
        <v>4913.14</v>
      </c>
      <c r="E15" s="105"/>
    </row>
    <row r="16" spans="1:5" ht="12.75">
      <c r="A16" s="69">
        <f t="shared" si="1"/>
        <v>10</v>
      </c>
      <c r="B16" s="99" t="s">
        <v>38</v>
      </c>
      <c r="C16" s="75">
        <v>144</v>
      </c>
      <c r="D16" s="112">
        <f t="shared" si="2"/>
        <v>9964.68</v>
      </c>
      <c r="E16" s="105"/>
    </row>
    <row r="17" spans="1:5" ht="12.75">
      <c r="A17" s="69">
        <f t="shared" si="1"/>
        <v>11</v>
      </c>
      <c r="B17" s="99" t="s">
        <v>39</v>
      </c>
      <c r="C17" s="142">
        <f>65+63+4</f>
        <v>132</v>
      </c>
      <c r="D17" s="112">
        <f t="shared" si="2"/>
        <v>9134.29</v>
      </c>
      <c r="E17" s="105"/>
    </row>
    <row r="18" spans="1:5" ht="12.75">
      <c r="A18" s="69">
        <f t="shared" si="1"/>
        <v>12</v>
      </c>
      <c r="B18" s="99" t="s">
        <v>23</v>
      </c>
      <c r="C18" s="75">
        <v>157</v>
      </c>
      <c r="D18" s="112">
        <f t="shared" si="2"/>
        <v>10864.27</v>
      </c>
      <c r="E18" s="105"/>
    </row>
    <row r="19" spans="1:5" ht="12.75">
      <c r="A19" s="69">
        <f t="shared" si="1"/>
        <v>13</v>
      </c>
      <c r="B19" s="99" t="s">
        <v>14</v>
      </c>
      <c r="C19" s="75">
        <v>161</v>
      </c>
      <c r="D19" s="112">
        <f t="shared" si="2"/>
        <v>11141.07</v>
      </c>
      <c r="E19" s="105"/>
    </row>
    <row r="20" spans="1:5" s="21" customFormat="1" ht="12.75">
      <c r="A20" s="69">
        <f t="shared" si="1"/>
        <v>14</v>
      </c>
      <c r="B20" s="99" t="s">
        <v>15</v>
      </c>
      <c r="C20" s="75">
        <v>120</v>
      </c>
      <c r="D20" s="112">
        <f t="shared" si="2"/>
        <v>8303.9</v>
      </c>
      <c r="E20" s="105"/>
    </row>
    <row r="21" spans="1:5" ht="12.75">
      <c r="A21" s="69">
        <f t="shared" si="1"/>
        <v>15</v>
      </c>
      <c r="B21" s="99" t="s">
        <v>48</v>
      </c>
      <c r="C21" s="75">
        <v>72</v>
      </c>
      <c r="D21" s="112">
        <f t="shared" si="2"/>
        <v>4982.34</v>
      </c>
      <c r="E21" s="105"/>
    </row>
    <row r="22" spans="1:5" ht="12.75">
      <c r="A22" s="69">
        <f t="shared" si="1"/>
        <v>16</v>
      </c>
      <c r="B22" s="99" t="s">
        <v>40</v>
      </c>
      <c r="C22" s="75">
        <v>140</v>
      </c>
      <c r="D22" s="112">
        <f t="shared" si="2"/>
        <v>9687.88</v>
      </c>
      <c r="E22" s="105"/>
    </row>
    <row r="23" spans="1:5" ht="12.75">
      <c r="A23" s="69">
        <f t="shared" si="1"/>
        <v>17</v>
      </c>
      <c r="B23" s="99" t="s">
        <v>16</v>
      </c>
      <c r="C23" s="75">
        <v>151</v>
      </c>
      <c r="D23" s="112">
        <f t="shared" si="2"/>
        <v>10449.08</v>
      </c>
      <c r="E23" s="105"/>
    </row>
    <row r="24" spans="1:5" ht="12.75">
      <c r="A24" s="69">
        <f t="shared" si="1"/>
        <v>18</v>
      </c>
      <c r="B24" s="99" t="s">
        <v>56</v>
      </c>
      <c r="C24" s="75">
        <v>135</v>
      </c>
      <c r="D24" s="112">
        <f t="shared" si="2"/>
        <v>9341.89</v>
      </c>
      <c r="E24" s="105"/>
    </row>
    <row r="25" spans="1:5" ht="12.75">
      <c r="A25" s="69">
        <f t="shared" si="1"/>
        <v>19</v>
      </c>
      <c r="B25" s="99" t="s">
        <v>49</v>
      </c>
      <c r="C25" s="75">
        <v>131</v>
      </c>
      <c r="D25" s="112">
        <f t="shared" si="2"/>
        <v>9065.09</v>
      </c>
      <c r="E25" s="105"/>
    </row>
    <row r="26" spans="1:5" ht="12.75">
      <c r="A26" s="69">
        <f t="shared" si="1"/>
        <v>20</v>
      </c>
      <c r="B26" s="99" t="s">
        <v>19</v>
      </c>
      <c r="C26" s="75">
        <v>151</v>
      </c>
      <c r="D26" s="112">
        <f t="shared" si="2"/>
        <v>10449.08</v>
      </c>
      <c r="E26" s="105"/>
    </row>
    <row r="27" spans="1:5" ht="26.25">
      <c r="A27" s="69">
        <f t="shared" si="1"/>
        <v>21</v>
      </c>
      <c r="B27" s="99" t="s">
        <v>30</v>
      </c>
      <c r="C27" s="75">
        <v>84</v>
      </c>
      <c r="D27" s="112">
        <f t="shared" si="2"/>
        <v>5812.73</v>
      </c>
      <c r="E27" s="106" t="s">
        <v>53</v>
      </c>
    </row>
    <row r="28" spans="1:5" ht="12.75">
      <c r="A28" s="69">
        <f t="shared" si="1"/>
        <v>22</v>
      </c>
      <c r="B28" s="99" t="s">
        <v>41</v>
      </c>
      <c r="C28" s="75">
        <v>113</v>
      </c>
      <c r="D28" s="112">
        <f t="shared" si="2"/>
        <v>7819.51</v>
      </c>
      <c r="E28" s="105"/>
    </row>
    <row r="29" spans="1:5" ht="12.75">
      <c r="A29" s="69">
        <f t="shared" si="1"/>
        <v>23</v>
      </c>
      <c r="B29" s="99" t="s">
        <v>42</v>
      </c>
      <c r="C29" s="75">
        <v>71</v>
      </c>
      <c r="D29" s="112">
        <f t="shared" si="2"/>
        <v>4913.14</v>
      </c>
      <c r="E29" s="105"/>
    </row>
    <row r="30" spans="1:5" ht="12.75">
      <c r="A30" s="69">
        <f t="shared" si="1"/>
        <v>24</v>
      </c>
      <c r="B30" s="100" t="s">
        <v>57</v>
      </c>
      <c r="C30" s="75">
        <v>91</v>
      </c>
      <c r="D30" s="112">
        <f t="shared" si="2"/>
        <v>6297.13</v>
      </c>
      <c r="E30" s="105"/>
    </row>
    <row r="31" spans="1:5" ht="22.5">
      <c r="A31" s="69">
        <f t="shared" si="1"/>
        <v>25</v>
      </c>
      <c r="B31" s="99" t="s">
        <v>43</v>
      </c>
      <c r="C31" s="75">
        <v>119</v>
      </c>
      <c r="D31" s="112">
        <f t="shared" si="2"/>
        <v>8234.7</v>
      </c>
      <c r="E31" s="105"/>
    </row>
    <row r="32" spans="1:5" ht="22.5">
      <c r="A32" s="69">
        <f t="shared" si="1"/>
        <v>26</v>
      </c>
      <c r="B32" s="99" t="s">
        <v>44</v>
      </c>
      <c r="C32" s="75">
        <v>159</v>
      </c>
      <c r="D32" s="112">
        <f t="shared" si="2"/>
        <v>11002.67</v>
      </c>
      <c r="E32" s="105"/>
    </row>
    <row r="33" spans="1:5" ht="12.75">
      <c r="A33" s="69">
        <f t="shared" si="1"/>
        <v>27</v>
      </c>
      <c r="B33" s="99" t="s">
        <v>45</v>
      </c>
      <c r="C33" s="75">
        <f>74-8</f>
        <v>66</v>
      </c>
      <c r="D33" s="112">
        <f t="shared" si="2"/>
        <v>4567.15</v>
      </c>
      <c r="E33" s="105"/>
    </row>
    <row r="34" spans="1:5" ht="12.75">
      <c r="A34" s="69">
        <f t="shared" si="1"/>
        <v>28</v>
      </c>
      <c r="B34" s="99" t="s">
        <v>20</v>
      </c>
      <c r="C34" s="75">
        <f>144</f>
        <v>144</v>
      </c>
      <c r="D34" s="112">
        <f t="shared" si="2"/>
        <v>9964.68</v>
      </c>
      <c r="E34" s="105"/>
    </row>
    <row r="35" spans="1:5" ht="12.75">
      <c r="A35" s="69">
        <f t="shared" si="1"/>
        <v>29</v>
      </c>
      <c r="B35" s="99" t="s">
        <v>17</v>
      </c>
      <c r="C35" s="75">
        <v>155</v>
      </c>
      <c r="D35" s="112">
        <f t="shared" si="2"/>
        <v>10725.87</v>
      </c>
      <c r="E35" s="105"/>
    </row>
    <row r="36" spans="1:5" ht="12.75">
      <c r="A36" s="69">
        <f t="shared" si="1"/>
        <v>30</v>
      </c>
      <c r="B36" s="99" t="s">
        <v>46</v>
      </c>
      <c r="C36" s="75">
        <v>130</v>
      </c>
      <c r="D36" s="112">
        <f t="shared" si="2"/>
        <v>8995.89</v>
      </c>
      <c r="E36" s="105"/>
    </row>
    <row r="37" spans="1:5" ht="12.75">
      <c r="A37" s="69">
        <f t="shared" si="1"/>
        <v>31</v>
      </c>
      <c r="B37" s="100" t="s">
        <v>47</v>
      </c>
      <c r="C37" s="75">
        <v>156</v>
      </c>
      <c r="D37" s="112">
        <f t="shared" si="2"/>
        <v>10795.07</v>
      </c>
      <c r="E37" s="105"/>
    </row>
    <row r="38" spans="1:5" ht="12.75">
      <c r="A38" s="69">
        <f t="shared" si="1"/>
        <v>32</v>
      </c>
      <c r="B38" s="100" t="s">
        <v>18</v>
      </c>
      <c r="C38" s="75">
        <v>153</v>
      </c>
      <c r="D38" s="112">
        <f t="shared" si="2"/>
        <v>10587.47</v>
      </c>
      <c r="E38" s="105"/>
    </row>
    <row r="39" spans="1:5" s="2" customFormat="1" ht="13.5" thickBot="1">
      <c r="A39" s="7"/>
      <c r="B39" s="17" t="s">
        <v>3</v>
      </c>
      <c r="C39" s="74">
        <f>SUM(C7:C38)</f>
        <v>4535</v>
      </c>
      <c r="D39" s="113">
        <f>SUM(D7:D38)</f>
        <v>313818.27</v>
      </c>
      <c r="E39" s="107"/>
    </row>
    <row r="40" spans="1:5" ht="13.5" thickBot="1">
      <c r="A40" s="23"/>
      <c r="B40" s="18" t="s">
        <v>27</v>
      </c>
      <c r="C40" s="76">
        <f>ROUND(evaluare!C41*0.5*0.5,2)</f>
        <v>313818.27</v>
      </c>
      <c r="D40" s="108"/>
      <c r="E40" s="76"/>
    </row>
    <row r="41" spans="2:5" ht="12.75">
      <c r="B41" s="72"/>
      <c r="C41" s="8"/>
      <c r="D41" s="72"/>
      <c r="E41" s="72"/>
    </row>
    <row r="42" spans="2:5" ht="12.75">
      <c r="B42" s="19" t="s">
        <v>4</v>
      </c>
      <c r="C42" s="4">
        <f>ROUND(C40/C39,2)</f>
        <v>69.2</v>
      </c>
      <c r="D42" s="24"/>
      <c r="E42" s="24"/>
    </row>
    <row r="43" spans="2:5" ht="12.75">
      <c r="B43" s="72"/>
      <c r="C43" s="4"/>
      <c r="D43" s="24"/>
      <c r="E43" s="24"/>
    </row>
  </sheetData>
  <sheetProtection/>
  <mergeCells count="3">
    <mergeCell ref="E5:E6"/>
    <mergeCell ref="A1:D1"/>
    <mergeCell ref="B4:C4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zoomScalePageLayoutView="0" workbookViewId="0" topLeftCell="A31">
      <selection activeCell="A44" sqref="A44:IV45"/>
    </sheetView>
  </sheetViews>
  <sheetFormatPr defaultColWidth="9.140625" defaultRowHeight="12.75"/>
  <cols>
    <col min="1" max="1" width="3.57421875" style="20" customWidth="1"/>
    <col min="2" max="2" width="42.28125" style="20" customWidth="1"/>
    <col min="3" max="3" width="21.8515625" style="5" customWidth="1"/>
    <col min="4" max="4" width="16.7109375" style="20" customWidth="1"/>
    <col min="5" max="16384" width="9.140625" style="20" customWidth="1"/>
  </cols>
  <sheetData>
    <row r="1" spans="1:4" s="117" customFormat="1" ht="36" customHeight="1">
      <c r="A1" s="148" t="s">
        <v>26</v>
      </c>
      <c r="B1" s="150"/>
      <c r="C1" s="150"/>
      <c r="D1" s="150"/>
    </row>
    <row r="3" spans="2:3" s="29" customFormat="1" ht="15">
      <c r="B3" s="138"/>
      <c r="C3" s="120"/>
    </row>
    <row r="4" spans="2:4" s="29" customFormat="1" ht="15.75" thickBot="1">
      <c r="B4" s="143" t="str">
        <f>evaluare!A4</f>
        <v>26/02/2021</v>
      </c>
      <c r="C4" s="144"/>
      <c r="D4" s="122" t="s">
        <v>8</v>
      </c>
    </row>
    <row r="5" spans="1:4" s="2" customFormat="1" ht="39.75" thickBot="1">
      <c r="A5" s="59" t="s">
        <v>0</v>
      </c>
      <c r="B5" s="60" t="s">
        <v>1</v>
      </c>
      <c r="C5" s="67" t="s">
        <v>54</v>
      </c>
      <c r="D5" s="81" t="s">
        <v>31</v>
      </c>
    </row>
    <row r="6" spans="1:4" s="3" customFormat="1" ht="27" thickBot="1">
      <c r="A6" s="64">
        <v>0</v>
      </c>
      <c r="B6" s="62">
        <v>1</v>
      </c>
      <c r="C6" s="65">
        <v>2</v>
      </c>
      <c r="D6" s="82" t="s">
        <v>33</v>
      </c>
    </row>
    <row r="7" spans="1:4" ht="12.75">
      <c r="A7" s="68">
        <v>1</v>
      </c>
      <c r="B7" s="98" t="s">
        <v>11</v>
      </c>
      <c r="C7" s="139">
        <v>895</v>
      </c>
      <c r="D7" s="73">
        <f>ROUND(C7/C$39*C$40,2)</f>
        <v>12424.46</v>
      </c>
    </row>
    <row r="8" spans="1:4" ht="12.75">
      <c r="A8" s="69">
        <f>A7+1</f>
        <v>2</v>
      </c>
      <c r="B8" s="99" t="s">
        <v>55</v>
      </c>
      <c r="C8" s="70">
        <v>2224</v>
      </c>
      <c r="D8" s="75">
        <f>ROUND(C8/C$39*C$40,2)</f>
        <v>30873.74</v>
      </c>
    </row>
    <row r="9" spans="1:4" ht="12.75">
      <c r="A9" s="69">
        <f aca="true" t="shared" si="0" ref="A9:A38">A8+1</f>
        <v>3</v>
      </c>
      <c r="B9" s="99" t="s">
        <v>36</v>
      </c>
      <c r="C9" s="70">
        <v>396</v>
      </c>
      <c r="D9" s="75">
        <f>ROUND(C9/C$39*C$40,2)</f>
        <v>5497.3</v>
      </c>
    </row>
    <row r="10" spans="1:4" ht="12.75">
      <c r="A10" s="69">
        <f t="shared" si="0"/>
        <v>4</v>
      </c>
      <c r="B10" s="99" t="s">
        <v>12</v>
      </c>
      <c r="C10" s="70">
        <v>868</v>
      </c>
      <c r="D10" s="75">
        <f>ROUND(C10/C$39*C$40,2)</f>
        <v>12049.64</v>
      </c>
    </row>
    <row r="11" spans="1:4" ht="12.75">
      <c r="A11" s="69">
        <f t="shared" si="0"/>
        <v>5</v>
      </c>
      <c r="B11" s="99" t="s">
        <v>13</v>
      </c>
      <c r="C11" s="70">
        <v>490</v>
      </c>
      <c r="D11" s="75">
        <f>ROUND(C11/C$39*C$40,2)</f>
        <v>6802.22</v>
      </c>
    </row>
    <row r="12" spans="1:4" ht="12.75">
      <c r="A12" s="69">
        <f t="shared" si="0"/>
        <v>6</v>
      </c>
      <c r="B12" s="128" t="s">
        <v>58</v>
      </c>
      <c r="C12" s="70">
        <f>248</f>
        <v>248</v>
      </c>
      <c r="D12" s="75">
        <f>ROUND(C12/C$39*C$40,2)-0.02</f>
        <v>3442.7400000000002</v>
      </c>
    </row>
    <row r="13" spans="1:4" ht="12.75">
      <c r="A13" s="69">
        <f t="shared" si="0"/>
        <v>7</v>
      </c>
      <c r="B13" s="101" t="s">
        <v>51</v>
      </c>
      <c r="C13" s="70">
        <v>316</v>
      </c>
      <c r="D13" s="75">
        <f aca="true" t="shared" si="1" ref="D13:D38">ROUND(C13/C$39*C$40,2)</f>
        <v>4386.74</v>
      </c>
    </row>
    <row r="14" spans="1:4" ht="12.75">
      <c r="A14" s="69">
        <f t="shared" si="0"/>
        <v>8</v>
      </c>
      <c r="B14" s="99" t="s">
        <v>37</v>
      </c>
      <c r="C14" s="70">
        <v>1300</v>
      </c>
      <c r="D14" s="75">
        <f t="shared" si="1"/>
        <v>18046.7</v>
      </c>
    </row>
    <row r="15" spans="1:4" ht="12.75">
      <c r="A15" s="69">
        <f t="shared" si="0"/>
        <v>9</v>
      </c>
      <c r="B15" s="99" t="s">
        <v>50</v>
      </c>
      <c r="C15" s="70">
        <v>443</v>
      </c>
      <c r="D15" s="75">
        <f t="shared" si="1"/>
        <v>6149.76</v>
      </c>
    </row>
    <row r="16" spans="1:4" ht="12.75">
      <c r="A16" s="69">
        <f t="shared" si="0"/>
        <v>10</v>
      </c>
      <c r="B16" s="99" t="s">
        <v>38</v>
      </c>
      <c r="C16" s="70">
        <v>576</v>
      </c>
      <c r="D16" s="75">
        <f t="shared" si="1"/>
        <v>7996.08</v>
      </c>
    </row>
    <row r="17" spans="1:4" ht="28.5" customHeight="1">
      <c r="A17" s="69">
        <f t="shared" si="0"/>
        <v>11</v>
      </c>
      <c r="B17" s="99" t="s">
        <v>39</v>
      </c>
      <c r="C17" s="6">
        <f>300+398</f>
        <v>698</v>
      </c>
      <c r="D17" s="75">
        <f t="shared" si="1"/>
        <v>9689.69</v>
      </c>
    </row>
    <row r="18" spans="1:4" ht="12.75">
      <c r="A18" s="69">
        <f t="shared" si="0"/>
        <v>12</v>
      </c>
      <c r="B18" s="99" t="s">
        <v>23</v>
      </c>
      <c r="C18" s="70">
        <v>340</v>
      </c>
      <c r="D18" s="75">
        <f t="shared" si="1"/>
        <v>4719.91</v>
      </c>
    </row>
    <row r="19" spans="1:4" ht="12.75">
      <c r="A19" s="69">
        <f t="shared" si="0"/>
        <v>13</v>
      </c>
      <c r="B19" s="99" t="s">
        <v>14</v>
      </c>
      <c r="C19" s="24">
        <v>1128</v>
      </c>
      <c r="D19" s="75">
        <f t="shared" si="1"/>
        <v>15658.98</v>
      </c>
    </row>
    <row r="20" spans="1:4" s="21" customFormat="1" ht="12.75">
      <c r="A20" s="69">
        <f t="shared" si="0"/>
        <v>14</v>
      </c>
      <c r="B20" s="99" t="s">
        <v>15</v>
      </c>
      <c r="C20" s="70">
        <v>696</v>
      </c>
      <c r="D20" s="75">
        <f t="shared" si="1"/>
        <v>9661.93</v>
      </c>
    </row>
    <row r="21" spans="1:4" ht="12.75">
      <c r="A21" s="69">
        <f t="shared" si="0"/>
        <v>15</v>
      </c>
      <c r="B21" s="99" t="s">
        <v>48</v>
      </c>
      <c r="C21" s="70">
        <v>443</v>
      </c>
      <c r="D21" s="75">
        <f t="shared" si="1"/>
        <v>6149.76</v>
      </c>
    </row>
    <row r="22" spans="1:4" s="21" customFormat="1" ht="12.75">
      <c r="A22" s="69">
        <f t="shared" si="0"/>
        <v>16</v>
      </c>
      <c r="B22" s="99" t="s">
        <v>40</v>
      </c>
      <c r="C22" s="24">
        <v>414</v>
      </c>
      <c r="D22" s="75">
        <f t="shared" si="1"/>
        <v>5747.18</v>
      </c>
    </row>
    <row r="23" spans="1:4" ht="12.75">
      <c r="A23" s="69">
        <f t="shared" si="0"/>
        <v>17</v>
      </c>
      <c r="B23" s="99" t="s">
        <v>16</v>
      </c>
      <c r="C23" s="70">
        <v>600</v>
      </c>
      <c r="D23" s="75">
        <f t="shared" si="1"/>
        <v>8329.25</v>
      </c>
    </row>
    <row r="24" spans="1:4" ht="12.75">
      <c r="A24" s="69">
        <f t="shared" si="0"/>
        <v>18</v>
      </c>
      <c r="B24" s="99" t="s">
        <v>56</v>
      </c>
      <c r="C24" s="70">
        <v>713</v>
      </c>
      <c r="D24" s="75">
        <f t="shared" si="1"/>
        <v>9897.92</v>
      </c>
    </row>
    <row r="25" spans="1:4" ht="12.75">
      <c r="A25" s="69">
        <f t="shared" si="0"/>
        <v>19</v>
      </c>
      <c r="B25" s="99" t="s">
        <v>49</v>
      </c>
      <c r="C25" s="70">
        <v>831</v>
      </c>
      <c r="D25" s="75">
        <f t="shared" si="1"/>
        <v>11536.01</v>
      </c>
    </row>
    <row r="26" spans="1:4" ht="12.75">
      <c r="A26" s="69">
        <f t="shared" si="0"/>
        <v>20</v>
      </c>
      <c r="B26" s="99" t="s">
        <v>19</v>
      </c>
      <c r="C26" s="70">
        <v>1028</v>
      </c>
      <c r="D26" s="75">
        <f t="shared" si="1"/>
        <v>14270.78</v>
      </c>
    </row>
    <row r="27" spans="1:4" ht="12.75">
      <c r="A27" s="69">
        <f t="shared" si="0"/>
        <v>21</v>
      </c>
      <c r="B27" s="99" t="s">
        <v>30</v>
      </c>
      <c r="C27" s="70">
        <v>720</v>
      </c>
      <c r="D27" s="75">
        <f t="shared" si="1"/>
        <v>9995.1</v>
      </c>
    </row>
    <row r="28" spans="1:4" ht="12.75">
      <c r="A28" s="69">
        <f t="shared" si="0"/>
        <v>22</v>
      </c>
      <c r="B28" s="99" t="s">
        <v>41</v>
      </c>
      <c r="C28" s="70">
        <v>360</v>
      </c>
      <c r="D28" s="75">
        <f t="shared" si="1"/>
        <v>4997.55</v>
      </c>
    </row>
    <row r="29" spans="1:4" ht="12.75">
      <c r="A29" s="69">
        <f t="shared" si="0"/>
        <v>23</v>
      </c>
      <c r="B29" s="99" t="s">
        <v>42</v>
      </c>
      <c r="C29" s="70">
        <v>320</v>
      </c>
      <c r="D29" s="75">
        <f t="shared" si="1"/>
        <v>4442.27</v>
      </c>
    </row>
    <row r="30" spans="1:4" ht="12.75">
      <c r="A30" s="69">
        <f t="shared" si="0"/>
        <v>24</v>
      </c>
      <c r="B30" s="100" t="s">
        <v>57</v>
      </c>
      <c r="C30" s="70">
        <v>232</v>
      </c>
      <c r="D30" s="75">
        <f t="shared" si="1"/>
        <v>3220.64</v>
      </c>
    </row>
    <row r="31" spans="1:4" ht="22.5">
      <c r="A31" s="69">
        <f t="shared" si="0"/>
        <v>25</v>
      </c>
      <c r="B31" s="99" t="s">
        <v>43</v>
      </c>
      <c r="C31" s="70">
        <v>336</v>
      </c>
      <c r="D31" s="75">
        <f t="shared" si="1"/>
        <v>4664.38</v>
      </c>
    </row>
    <row r="32" spans="1:4" ht="22.5">
      <c r="A32" s="69">
        <f t="shared" si="0"/>
        <v>26</v>
      </c>
      <c r="B32" s="99" t="s">
        <v>44</v>
      </c>
      <c r="C32" s="70">
        <v>1048</v>
      </c>
      <c r="D32" s="75">
        <f t="shared" si="1"/>
        <v>14548.42</v>
      </c>
    </row>
    <row r="33" spans="1:4" ht="12.75">
      <c r="A33" s="69">
        <f t="shared" si="0"/>
        <v>27</v>
      </c>
      <c r="B33" s="99" t="s">
        <v>45</v>
      </c>
      <c r="C33" s="70">
        <v>298</v>
      </c>
      <c r="D33" s="75">
        <f t="shared" si="1"/>
        <v>4136.86</v>
      </c>
    </row>
    <row r="34" spans="1:4" ht="12.75">
      <c r="A34" s="69">
        <f t="shared" si="0"/>
        <v>28</v>
      </c>
      <c r="B34" s="99" t="s">
        <v>20</v>
      </c>
      <c r="C34" s="70">
        <f>600</f>
        <v>600</v>
      </c>
      <c r="D34" s="75">
        <f t="shared" si="1"/>
        <v>8329.25</v>
      </c>
    </row>
    <row r="35" spans="1:4" ht="12.75">
      <c r="A35" s="69">
        <f t="shared" si="0"/>
        <v>29</v>
      </c>
      <c r="B35" s="99" t="s">
        <v>17</v>
      </c>
      <c r="C35" s="70">
        <v>880</v>
      </c>
      <c r="D35" s="75">
        <f t="shared" si="1"/>
        <v>12216.23</v>
      </c>
    </row>
    <row r="36" spans="1:4" ht="12.75">
      <c r="A36" s="69">
        <f t="shared" si="0"/>
        <v>30</v>
      </c>
      <c r="B36" s="99" t="s">
        <v>46</v>
      </c>
      <c r="C36" s="70">
        <v>992</v>
      </c>
      <c r="D36" s="75">
        <f t="shared" si="1"/>
        <v>13771.02</v>
      </c>
    </row>
    <row r="37" spans="1:4" ht="12.75">
      <c r="A37" s="69">
        <f t="shared" si="0"/>
        <v>31</v>
      </c>
      <c r="B37" s="100" t="s">
        <v>47</v>
      </c>
      <c r="C37" s="70">
        <v>1256</v>
      </c>
      <c r="D37" s="75">
        <f t="shared" si="1"/>
        <v>17435.89</v>
      </c>
    </row>
    <row r="38" spans="1:4" ht="12.75">
      <c r="A38" s="69">
        <f t="shared" si="0"/>
        <v>32</v>
      </c>
      <c r="B38" s="100" t="s">
        <v>18</v>
      </c>
      <c r="C38" s="70">
        <v>917</v>
      </c>
      <c r="D38" s="75">
        <f t="shared" si="1"/>
        <v>12729.87</v>
      </c>
    </row>
    <row r="39" spans="1:4" ht="13.5" thickBot="1">
      <c r="A39" s="140"/>
      <c r="B39" s="46" t="s">
        <v>3</v>
      </c>
      <c r="C39" s="43">
        <f>SUM(C7:C38)</f>
        <v>22606</v>
      </c>
      <c r="D39" s="83">
        <f>SUM(D7:D38)</f>
        <v>313818.2700000001</v>
      </c>
    </row>
    <row r="40" spans="1:4" ht="13.5" thickBot="1">
      <c r="A40" s="141"/>
      <c r="B40" s="44" t="s">
        <v>27</v>
      </c>
      <c r="C40" s="45">
        <f>evaluare!C41*0.5*0.5</f>
        <v>313818.2725</v>
      </c>
      <c r="D40" s="77"/>
    </row>
    <row r="41" spans="2:4" ht="12.75">
      <c r="B41" s="72"/>
      <c r="C41" s="4"/>
      <c r="D41" s="72"/>
    </row>
    <row r="42" spans="2:4" ht="12.75">
      <c r="B42" s="19" t="s">
        <v>4</v>
      </c>
      <c r="C42" s="4">
        <f>ROUND(C40/C39,2)</f>
        <v>13.88</v>
      </c>
      <c r="D42" s="24"/>
    </row>
    <row r="43" spans="2:4" ht="12.75">
      <c r="B43" s="72"/>
      <c r="C43" s="4"/>
      <c r="D43" s="24"/>
    </row>
  </sheetData>
  <sheetProtection/>
  <mergeCells count="2">
    <mergeCell ref="A1:D1"/>
    <mergeCell ref="B4:C4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SheetLayoutView="100" zoomScalePageLayoutView="0" workbookViewId="0" topLeftCell="A1">
      <selection activeCell="A1" sqref="A1:IV9"/>
    </sheetView>
  </sheetViews>
  <sheetFormatPr defaultColWidth="9.140625" defaultRowHeight="12.75"/>
  <cols>
    <col min="1" max="1" width="3.421875" style="12" customWidth="1"/>
    <col min="2" max="2" width="43.8515625" style="12" customWidth="1"/>
    <col min="3" max="3" width="15.00390625" style="38" customWidth="1"/>
    <col min="4" max="4" width="16.28125" style="13" customWidth="1"/>
    <col min="5" max="5" width="15.28125" style="13" customWidth="1"/>
    <col min="6" max="6" width="16.140625" style="13" customWidth="1"/>
    <col min="7" max="16384" width="9.140625" style="12" customWidth="1"/>
  </cols>
  <sheetData>
    <row r="1" spans="1:6" ht="14.25" customHeight="1">
      <c r="A1" s="47"/>
      <c r="B1" s="48"/>
      <c r="C1" s="49"/>
      <c r="D1" s="48"/>
      <c r="E1" s="50"/>
      <c r="F1" s="51"/>
    </row>
    <row r="2" spans="1:6" ht="24.75" customHeight="1">
      <c r="A2" s="151" t="s">
        <v>59</v>
      </c>
      <c r="B2" s="151"/>
      <c r="C2" s="151"/>
      <c r="D2" s="151"/>
      <c r="E2" s="151"/>
      <c r="F2" s="151"/>
    </row>
    <row r="3" spans="1:6" s="1" customFormat="1" ht="6.75" customHeight="1">
      <c r="A3" s="40"/>
      <c r="B3" s="26"/>
      <c r="C3" s="26"/>
      <c r="D3" s="26"/>
      <c r="E3" s="26"/>
      <c r="F3" s="26"/>
    </row>
    <row r="4" spans="1:6" s="1" customFormat="1" ht="10.5" customHeight="1">
      <c r="A4" s="40"/>
      <c r="B4" s="26"/>
      <c r="C4" s="26"/>
      <c r="D4" s="26"/>
      <c r="E4" s="26"/>
      <c r="F4" s="26"/>
    </row>
    <row r="5" spans="1:6" s="10" customFormat="1" ht="36" customHeight="1" thickBot="1">
      <c r="A5" s="152" t="str">
        <f>evaluare!A4</f>
        <v>26/02/2021</v>
      </c>
      <c r="B5" s="153"/>
      <c r="C5" s="28"/>
      <c r="D5" s="11"/>
      <c r="E5" s="11"/>
      <c r="F5" s="14" t="s">
        <v>34</v>
      </c>
    </row>
    <row r="6" spans="1:6" s="33" customFormat="1" ht="54" customHeight="1">
      <c r="A6" s="42" t="s">
        <v>0</v>
      </c>
      <c r="B6" s="30" t="s">
        <v>1</v>
      </c>
      <c r="C6" s="31" t="s">
        <v>3</v>
      </c>
      <c r="D6" s="31" t="s">
        <v>22</v>
      </c>
      <c r="E6" s="32" t="s">
        <v>28</v>
      </c>
      <c r="F6" s="89" t="s">
        <v>29</v>
      </c>
    </row>
    <row r="7" spans="1:6" s="87" customFormat="1" ht="25.5" customHeight="1">
      <c r="A7" s="84">
        <v>0</v>
      </c>
      <c r="B7" s="85">
        <v>1</v>
      </c>
      <c r="C7" s="86">
        <v>2</v>
      </c>
      <c r="D7" s="86">
        <v>3</v>
      </c>
      <c r="E7" s="86">
        <v>4</v>
      </c>
      <c r="F7" s="90">
        <v>5</v>
      </c>
    </row>
    <row r="8" spans="1:6" s="10" customFormat="1" ht="12.75">
      <c r="A8" s="34">
        <v>1</v>
      </c>
      <c r="B8" s="35" t="s">
        <v>11</v>
      </c>
      <c r="C8" s="36">
        <f>SUM(D8:F8)</f>
        <v>40685.229999999996</v>
      </c>
      <c r="D8" s="27">
        <f>evaluare!D7</f>
        <v>18711.28</v>
      </c>
      <c r="E8" s="27">
        <f>cal_ISO!D7</f>
        <v>9549.49</v>
      </c>
      <c r="F8" s="91">
        <f>cal_II!D7</f>
        <v>12424.46</v>
      </c>
    </row>
    <row r="9" spans="1:6" s="39" customFormat="1" ht="12.75">
      <c r="A9" s="41">
        <f>A8+1</f>
        <v>2</v>
      </c>
      <c r="B9" s="35" t="s">
        <v>35</v>
      </c>
      <c r="C9" s="36">
        <f aca="true" t="shared" si="0" ref="C9:C39">SUM(D9:F9)</f>
        <v>87828.17</v>
      </c>
      <c r="D9" s="27">
        <f>evaluare!D8</f>
        <v>25399.61</v>
      </c>
      <c r="E9" s="27">
        <f>cal_ISO!D8</f>
        <v>31554.82</v>
      </c>
      <c r="F9" s="91">
        <f>cal_II!D8</f>
        <v>30873.74</v>
      </c>
    </row>
    <row r="10" spans="1:6" s="39" customFormat="1" ht="12.75">
      <c r="A10" s="41">
        <f aca="true" t="shared" si="1" ref="A10:A39">A9+1</f>
        <v>3</v>
      </c>
      <c r="B10" s="35" t="s">
        <v>36</v>
      </c>
      <c r="C10" s="36">
        <f t="shared" si="0"/>
        <v>29383.719999999998</v>
      </c>
      <c r="D10" s="27">
        <f>evaluare!D9</f>
        <v>15444.12</v>
      </c>
      <c r="E10" s="27">
        <f>cal_ISO!D9</f>
        <v>8442.3</v>
      </c>
      <c r="F10" s="91">
        <f>cal_II!D9</f>
        <v>5497.3</v>
      </c>
    </row>
    <row r="11" spans="1:6" s="39" customFormat="1" ht="12.75">
      <c r="A11" s="41">
        <f t="shared" si="1"/>
        <v>4</v>
      </c>
      <c r="B11" s="9" t="s">
        <v>12</v>
      </c>
      <c r="C11" s="36">
        <f>SUM(D11:F11)</f>
        <v>53145.71</v>
      </c>
      <c r="D11" s="27">
        <f>evaluare!D10</f>
        <v>30716.19</v>
      </c>
      <c r="E11" s="27">
        <f>cal_ISO!D10</f>
        <v>10379.88</v>
      </c>
      <c r="F11" s="91">
        <f>cal_II!D10</f>
        <v>12049.64</v>
      </c>
    </row>
    <row r="12" spans="1:6" s="39" customFormat="1" ht="12.75">
      <c r="A12" s="41">
        <f t="shared" si="1"/>
        <v>5</v>
      </c>
      <c r="B12" s="9" t="s">
        <v>13</v>
      </c>
      <c r="C12" s="36">
        <f t="shared" si="0"/>
        <v>26421.07</v>
      </c>
      <c r="D12" s="27">
        <f>evaluare!D11</f>
        <v>11107.35</v>
      </c>
      <c r="E12" s="27">
        <f>cal_ISO!D11</f>
        <v>8511.5</v>
      </c>
      <c r="F12" s="91">
        <f>cal_II!D11</f>
        <v>6802.22</v>
      </c>
    </row>
    <row r="13" spans="1:6" s="39" customFormat="1" ht="12.75">
      <c r="A13" s="41">
        <f t="shared" si="1"/>
        <v>6</v>
      </c>
      <c r="B13" s="114" t="s">
        <v>58</v>
      </c>
      <c r="C13" s="36">
        <f>SUM(D13:F13)</f>
        <v>24417.79</v>
      </c>
      <c r="D13" s="27">
        <f>evaluare!D12</f>
        <v>13985.93</v>
      </c>
      <c r="E13" s="27">
        <f>cal_ISO!D12</f>
        <v>6989.12</v>
      </c>
      <c r="F13" s="91">
        <f>cal_II!D12</f>
        <v>3442.7400000000002</v>
      </c>
    </row>
    <row r="14" spans="1:6" s="10" customFormat="1" ht="12.75">
      <c r="A14" s="41">
        <f t="shared" si="1"/>
        <v>7</v>
      </c>
      <c r="B14" s="52" t="s">
        <v>51</v>
      </c>
      <c r="C14" s="36">
        <f>SUM(D14:F14)</f>
        <v>56081.729999999996</v>
      </c>
      <c r="D14" s="27">
        <f>evaluare!D13</f>
        <v>32457.62</v>
      </c>
      <c r="E14" s="27">
        <f>cal_ISO!D13</f>
        <v>19237.37</v>
      </c>
      <c r="F14" s="91">
        <f>cal_II!D13</f>
        <v>4386.74</v>
      </c>
    </row>
    <row r="15" spans="1:6" s="39" customFormat="1" ht="12.75">
      <c r="A15" s="41">
        <f t="shared" si="1"/>
        <v>8</v>
      </c>
      <c r="B15" s="16" t="s">
        <v>37</v>
      </c>
      <c r="C15" s="36">
        <f t="shared" si="0"/>
        <v>99742.7</v>
      </c>
      <c r="D15" s="27">
        <f>evaluare!D14</f>
        <v>70554.93</v>
      </c>
      <c r="E15" s="27">
        <f>cal_ISO!D14</f>
        <v>11141.07</v>
      </c>
      <c r="F15" s="91">
        <f>cal_II!D14</f>
        <v>18046.7</v>
      </c>
    </row>
    <row r="16" spans="1:6" s="39" customFormat="1" ht="12.75">
      <c r="A16" s="41">
        <f t="shared" si="1"/>
        <v>9</v>
      </c>
      <c r="B16" s="9" t="s">
        <v>50</v>
      </c>
      <c r="C16" s="36">
        <f t="shared" si="0"/>
        <v>19837.160000000003</v>
      </c>
      <c r="D16" s="27">
        <f>evaluare!D15</f>
        <v>8774.26</v>
      </c>
      <c r="E16" s="27">
        <f>cal_ISO!D15</f>
        <v>4913.14</v>
      </c>
      <c r="F16" s="91">
        <f>cal_II!D15</f>
        <v>6149.76</v>
      </c>
    </row>
    <row r="17" spans="1:6" s="39" customFormat="1" ht="12.75">
      <c r="A17" s="41">
        <f t="shared" si="1"/>
        <v>10</v>
      </c>
      <c r="B17" s="9" t="s">
        <v>38</v>
      </c>
      <c r="C17" s="36">
        <f t="shared" si="0"/>
        <v>25813.949999999997</v>
      </c>
      <c r="D17" s="27">
        <f>evaluare!D16</f>
        <v>7853.19</v>
      </c>
      <c r="E17" s="27">
        <f>cal_ISO!D16</f>
        <v>9964.68</v>
      </c>
      <c r="F17" s="91">
        <f>cal_II!D16</f>
        <v>7996.08</v>
      </c>
    </row>
    <row r="18" spans="1:6" s="39" customFormat="1" ht="12.75">
      <c r="A18" s="41">
        <f t="shared" si="1"/>
        <v>11</v>
      </c>
      <c r="B18" s="9" t="s">
        <v>39</v>
      </c>
      <c r="C18" s="36">
        <f t="shared" si="0"/>
        <v>27452.420000000006</v>
      </c>
      <c r="D18" s="27">
        <f>evaluare!D17</f>
        <v>8628.44</v>
      </c>
      <c r="E18" s="27">
        <f>cal_ISO!D17</f>
        <v>9134.29</v>
      </c>
      <c r="F18" s="91">
        <f>cal_II!D17</f>
        <v>9689.69</v>
      </c>
    </row>
    <row r="19" spans="1:6" s="39" customFormat="1" ht="12.75">
      <c r="A19" s="41">
        <f t="shared" si="1"/>
        <v>12</v>
      </c>
      <c r="B19" s="9" t="s">
        <v>23</v>
      </c>
      <c r="C19" s="36">
        <f>SUM(D19:F19)</f>
        <v>32945.96</v>
      </c>
      <c r="D19" s="27">
        <f>evaluare!D18</f>
        <v>17361.78</v>
      </c>
      <c r="E19" s="27">
        <f>cal_ISO!D18</f>
        <v>10864.27</v>
      </c>
      <c r="F19" s="91">
        <f>cal_II!D18</f>
        <v>4719.91</v>
      </c>
    </row>
    <row r="20" spans="1:6" s="39" customFormat="1" ht="12.75">
      <c r="A20" s="41">
        <f t="shared" si="1"/>
        <v>13</v>
      </c>
      <c r="B20" s="9" t="s">
        <v>14</v>
      </c>
      <c r="C20" s="36">
        <f t="shared" si="0"/>
        <v>40738.990000000005</v>
      </c>
      <c r="D20" s="27">
        <f>evaluare!D19</f>
        <v>13938.94</v>
      </c>
      <c r="E20" s="27">
        <f>cal_ISO!D19</f>
        <v>11141.07</v>
      </c>
      <c r="F20" s="91">
        <f>cal_II!D19</f>
        <v>15658.98</v>
      </c>
    </row>
    <row r="21" spans="1:6" s="39" customFormat="1" ht="12.75">
      <c r="A21" s="41">
        <f t="shared" si="1"/>
        <v>14</v>
      </c>
      <c r="B21" s="9" t="s">
        <v>15</v>
      </c>
      <c r="C21" s="36">
        <f t="shared" si="0"/>
        <v>32660.93</v>
      </c>
      <c r="D21" s="27">
        <f>evaluare!D20</f>
        <v>14695.1</v>
      </c>
      <c r="E21" s="27">
        <f>cal_ISO!D20</f>
        <v>8303.9</v>
      </c>
      <c r="F21" s="91">
        <f>cal_II!D20</f>
        <v>9661.93</v>
      </c>
    </row>
    <row r="22" spans="1:6" s="39" customFormat="1" ht="12.75">
      <c r="A22" s="41">
        <f t="shared" si="1"/>
        <v>15</v>
      </c>
      <c r="B22" s="9" t="s">
        <v>48</v>
      </c>
      <c r="C22" s="36">
        <f t="shared" si="0"/>
        <v>19576.54</v>
      </c>
      <c r="D22" s="27">
        <f>evaluare!D21</f>
        <v>8444.44</v>
      </c>
      <c r="E22" s="27">
        <f>cal_ISO!D21</f>
        <v>4982.34</v>
      </c>
      <c r="F22" s="91">
        <f>cal_II!D21</f>
        <v>6149.76</v>
      </c>
    </row>
    <row r="23" spans="1:6" s="39" customFormat="1" ht="12.75">
      <c r="A23" s="41">
        <f t="shared" si="1"/>
        <v>16</v>
      </c>
      <c r="B23" s="9" t="s">
        <v>40</v>
      </c>
      <c r="C23" s="36">
        <f t="shared" si="0"/>
        <v>25652.809999999998</v>
      </c>
      <c r="D23" s="27">
        <f>evaluare!D22</f>
        <v>10217.75</v>
      </c>
      <c r="E23" s="27">
        <f>cal_ISO!D22</f>
        <v>9687.88</v>
      </c>
      <c r="F23" s="91">
        <f>cal_II!D22</f>
        <v>5747.18</v>
      </c>
    </row>
    <row r="24" spans="1:6" s="39" customFormat="1" ht="12.75">
      <c r="A24" s="41">
        <f t="shared" si="1"/>
        <v>17</v>
      </c>
      <c r="B24" s="9" t="s">
        <v>16</v>
      </c>
      <c r="C24" s="36">
        <f t="shared" si="0"/>
        <v>26423.809999999998</v>
      </c>
      <c r="D24" s="27">
        <f>evaluare!D23</f>
        <v>7645.48</v>
      </c>
      <c r="E24" s="27">
        <f>cal_ISO!D23</f>
        <v>10449.08</v>
      </c>
      <c r="F24" s="91">
        <f>cal_II!D23</f>
        <v>8329.25</v>
      </c>
    </row>
    <row r="25" spans="1:6" s="39" customFormat="1" ht="18" customHeight="1">
      <c r="A25" s="41">
        <f t="shared" si="1"/>
        <v>18</v>
      </c>
      <c r="B25" s="16" t="s">
        <v>56</v>
      </c>
      <c r="C25" s="36">
        <f t="shared" si="0"/>
        <v>33443.95</v>
      </c>
      <c r="D25" s="27">
        <f>evaluare!D24</f>
        <v>14204.14</v>
      </c>
      <c r="E25" s="27">
        <f>cal_ISO!D24</f>
        <v>9341.89</v>
      </c>
      <c r="F25" s="91">
        <f>cal_II!D24</f>
        <v>9897.92</v>
      </c>
    </row>
    <row r="26" spans="1:6" s="10" customFormat="1" ht="12.75">
      <c r="A26" s="41">
        <f t="shared" si="1"/>
        <v>19</v>
      </c>
      <c r="B26" s="9" t="s">
        <v>49</v>
      </c>
      <c r="C26" s="36">
        <f>SUM(D26:F26)</f>
        <v>34897.56</v>
      </c>
      <c r="D26" s="27">
        <f>evaluare!D25</f>
        <v>14296.46</v>
      </c>
      <c r="E26" s="27">
        <f>cal_ISO!D25</f>
        <v>9065.09</v>
      </c>
      <c r="F26" s="91">
        <f>cal_II!D25</f>
        <v>11536.01</v>
      </c>
    </row>
    <row r="27" spans="1:6" s="39" customFormat="1" ht="12.75">
      <c r="A27" s="41">
        <f t="shared" si="1"/>
        <v>20</v>
      </c>
      <c r="B27" s="9" t="s">
        <v>19</v>
      </c>
      <c r="C27" s="36">
        <f t="shared" si="0"/>
        <v>54219.159999999996</v>
      </c>
      <c r="D27" s="27">
        <f>evaluare!D26</f>
        <v>29499.3</v>
      </c>
      <c r="E27" s="27">
        <f>cal_ISO!D26</f>
        <v>10449.08</v>
      </c>
      <c r="F27" s="91">
        <f>cal_II!D26</f>
        <v>14270.78</v>
      </c>
    </row>
    <row r="28" spans="1:6" s="10" customFormat="1" ht="12.75">
      <c r="A28" s="41">
        <f t="shared" si="1"/>
        <v>21</v>
      </c>
      <c r="B28" s="9" t="s">
        <v>30</v>
      </c>
      <c r="C28" s="36">
        <f t="shared" si="0"/>
        <v>31799.549999999996</v>
      </c>
      <c r="D28" s="27">
        <f>evaluare!D27</f>
        <v>15991.72</v>
      </c>
      <c r="E28" s="27">
        <f>cal_ISO!D27</f>
        <v>5812.73</v>
      </c>
      <c r="F28" s="91">
        <f>cal_II!D27</f>
        <v>9995.1</v>
      </c>
    </row>
    <row r="29" spans="1:6" s="10" customFormat="1" ht="12.75">
      <c r="A29" s="41">
        <f t="shared" si="1"/>
        <v>22</v>
      </c>
      <c r="B29" s="9" t="s">
        <v>41</v>
      </c>
      <c r="C29" s="36">
        <f t="shared" si="0"/>
        <v>28407.63</v>
      </c>
      <c r="D29" s="27">
        <f>evaluare!D28</f>
        <v>15590.57</v>
      </c>
      <c r="E29" s="27">
        <f>cal_ISO!D28</f>
        <v>7819.51</v>
      </c>
      <c r="F29" s="91">
        <f>cal_II!D28</f>
        <v>4997.55</v>
      </c>
    </row>
    <row r="30" spans="1:6" s="10" customFormat="1" ht="12.75">
      <c r="A30" s="41">
        <f t="shared" si="1"/>
        <v>23</v>
      </c>
      <c r="B30" s="9" t="s">
        <v>42</v>
      </c>
      <c r="C30" s="36">
        <f t="shared" si="0"/>
        <v>23181.89</v>
      </c>
      <c r="D30" s="27">
        <f>evaluare!D29</f>
        <v>13826.48</v>
      </c>
      <c r="E30" s="27">
        <f>cal_ISO!D29</f>
        <v>4913.14</v>
      </c>
      <c r="F30" s="91">
        <f>cal_II!D29</f>
        <v>4442.27</v>
      </c>
    </row>
    <row r="31" spans="1:6" s="10" customFormat="1" ht="12.75">
      <c r="A31" s="41">
        <f t="shared" si="1"/>
        <v>24</v>
      </c>
      <c r="B31" s="15" t="s">
        <v>57</v>
      </c>
      <c r="C31" s="36">
        <f>SUM(D31:F31)</f>
        <v>17342.22</v>
      </c>
      <c r="D31" s="27">
        <f>evaluare!D30</f>
        <v>7824.45</v>
      </c>
      <c r="E31" s="27">
        <f>cal_ISO!D30</f>
        <v>6297.13</v>
      </c>
      <c r="F31" s="91">
        <f>cal_II!D30</f>
        <v>3220.64</v>
      </c>
    </row>
    <row r="32" spans="1:6" s="10" customFormat="1" ht="24" customHeight="1">
      <c r="A32" s="41">
        <f t="shared" si="1"/>
        <v>25</v>
      </c>
      <c r="B32" s="9" t="s">
        <v>43</v>
      </c>
      <c r="C32" s="36">
        <f t="shared" si="0"/>
        <v>34599.74</v>
      </c>
      <c r="D32" s="27">
        <f>evaluare!D31</f>
        <v>21700.66</v>
      </c>
      <c r="E32" s="27">
        <f>cal_ISO!D31</f>
        <v>8234.7</v>
      </c>
      <c r="F32" s="91">
        <f>cal_II!D31</f>
        <v>4664.38</v>
      </c>
    </row>
    <row r="33" spans="1:6" s="39" customFormat="1" ht="24" customHeight="1">
      <c r="A33" s="41">
        <f t="shared" si="1"/>
        <v>26</v>
      </c>
      <c r="B33" s="9" t="s">
        <v>44</v>
      </c>
      <c r="C33" s="36">
        <f t="shared" si="0"/>
        <v>76845.46</v>
      </c>
      <c r="D33" s="27">
        <f>evaluare!D32</f>
        <v>51294.37</v>
      </c>
      <c r="E33" s="27">
        <f>cal_ISO!D32</f>
        <v>11002.67</v>
      </c>
      <c r="F33" s="91">
        <f>cal_II!D32</f>
        <v>14548.42</v>
      </c>
    </row>
    <row r="34" spans="1:6" s="39" customFormat="1" ht="12.75">
      <c r="A34" s="41">
        <f t="shared" si="1"/>
        <v>27</v>
      </c>
      <c r="B34" s="9" t="s">
        <v>45</v>
      </c>
      <c r="C34" s="36">
        <f t="shared" si="0"/>
        <v>21703.84</v>
      </c>
      <c r="D34" s="27">
        <f>evaluare!D33</f>
        <v>12999.83</v>
      </c>
      <c r="E34" s="27">
        <f>cal_ISO!D33</f>
        <v>4567.15</v>
      </c>
      <c r="F34" s="91">
        <f>cal_II!D33</f>
        <v>4136.86</v>
      </c>
    </row>
    <row r="35" spans="1:6" s="39" customFormat="1" ht="12.75">
      <c r="A35" s="41">
        <f t="shared" si="1"/>
        <v>28</v>
      </c>
      <c r="B35" s="9" t="s">
        <v>20</v>
      </c>
      <c r="C35" s="36">
        <f t="shared" si="0"/>
        <v>36133.869999999995</v>
      </c>
      <c r="D35" s="27">
        <f>evaluare!D34</f>
        <v>17839.94</v>
      </c>
      <c r="E35" s="27">
        <f>cal_ISO!D34</f>
        <v>9964.68</v>
      </c>
      <c r="F35" s="91">
        <f>cal_II!D34</f>
        <v>8329.25</v>
      </c>
    </row>
    <row r="36" spans="1:6" s="10" customFormat="1" ht="12.75">
      <c r="A36" s="41">
        <f t="shared" si="1"/>
        <v>29</v>
      </c>
      <c r="B36" s="9" t="s">
        <v>17</v>
      </c>
      <c r="C36" s="36">
        <f>SUM(D36:F36)</f>
        <v>48367.93000000001</v>
      </c>
      <c r="D36" s="27">
        <f>evaluare!D35</f>
        <v>25425.83</v>
      </c>
      <c r="E36" s="27">
        <f>cal_ISO!D35</f>
        <v>10725.87</v>
      </c>
      <c r="F36" s="91">
        <f>cal_II!D35</f>
        <v>12216.23</v>
      </c>
    </row>
    <row r="37" spans="1:6" s="39" customFormat="1" ht="12.75">
      <c r="A37" s="41">
        <f t="shared" si="1"/>
        <v>30</v>
      </c>
      <c r="B37" s="16" t="s">
        <v>46</v>
      </c>
      <c r="C37" s="36">
        <f t="shared" si="0"/>
        <v>35802.619999999995</v>
      </c>
      <c r="D37" s="27">
        <f>evaluare!D36</f>
        <v>13035.71</v>
      </c>
      <c r="E37" s="27">
        <f>cal_ISO!D36</f>
        <v>8995.89</v>
      </c>
      <c r="F37" s="91">
        <f>cal_II!D36</f>
        <v>13771.02</v>
      </c>
    </row>
    <row r="38" spans="1:6" s="39" customFormat="1" ht="12.75">
      <c r="A38" s="41">
        <f t="shared" si="1"/>
        <v>31</v>
      </c>
      <c r="B38" s="15" t="s">
        <v>47</v>
      </c>
      <c r="C38" s="36">
        <f t="shared" si="0"/>
        <v>60582.41</v>
      </c>
      <c r="D38" s="27">
        <f>evaluare!D37</f>
        <v>32351.45</v>
      </c>
      <c r="E38" s="27">
        <f>cal_ISO!D37</f>
        <v>10795.07</v>
      </c>
      <c r="F38" s="91">
        <f>cal_II!D37</f>
        <v>17435.89</v>
      </c>
    </row>
    <row r="39" spans="1:6" s="10" customFormat="1" ht="13.5" thickBot="1">
      <c r="A39" s="41">
        <f t="shared" si="1"/>
        <v>32</v>
      </c>
      <c r="B39" s="15" t="s">
        <v>18</v>
      </c>
      <c r="C39" s="36">
        <f t="shared" si="0"/>
        <v>49136.57</v>
      </c>
      <c r="D39" s="27">
        <f>evaluare!D38</f>
        <v>25819.23</v>
      </c>
      <c r="E39" s="27">
        <f>cal_ISO!D38</f>
        <v>10587.47</v>
      </c>
      <c r="F39" s="91">
        <f>cal_II!D38</f>
        <v>12729.87</v>
      </c>
    </row>
    <row r="40" spans="1:6" s="28" customFormat="1" ht="15" customHeight="1" thickBot="1">
      <c r="A40" s="92"/>
      <c r="B40" s="93" t="s">
        <v>3</v>
      </c>
      <c r="C40" s="94">
        <f>SUM(C8:C39)</f>
        <v>1255273.0899999999</v>
      </c>
      <c r="D40" s="94">
        <f>SUM(D8:D39)</f>
        <v>627636.5499999998</v>
      </c>
      <c r="E40" s="94">
        <f>SUM(E8:E39)</f>
        <v>313818.27</v>
      </c>
      <c r="F40" s="95">
        <f>SUM(F8:F39)</f>
        <v>313818.2700000001</v>
      </c>
    </row>
    <row r="41" spans="3:6" s="10" customFormat="1" ht="12.75" hidden="1">
      <c r="C41" s="37" t="e">
        <f>#REF!/0.76</f>
        <v>#REF!</v>
      </c>
      <c r="D41" s="11" t="e">
        <f>#REF!/$C41</f>
        <v>#REF!</v>
      </c>
      <c r="E41" s="11" t="e">
        <f>#REF!/$C41</f>
        <v>#REF!</v>
      </c>
      <c r="F41" s="11" t="e">
        <f>#REF!/$C41</f>
        <v>#REF!</v>
      </c>
    </row>
    <row r="42" spans="3:6" s="10" customFormat="1" ht="12.75">
      <c r="C42" s="37"/>
      <c r="D42" s="11"/>
      <c r="E42" s="11"/>
      <c r="F42" s="11"/>
    </row>
    <row r="43" spans="2:6" s="28" customFormat="1" ht="12.75">
      <c r="B43" s="28" t="s">
        <v>10</v>
      </c>
      <c r="C43" s="37"/>
      <c r="D43" s="37">
        <f>evaluare!C43</f>
        <v>20.98</v>
      </c>
      <c r="E43" s="37">
        <f>cal_ISO!C42</f>
        <v>69.2</v>
      </c>
      <c r="F43" s="37">
        <f>cal_II!C42</f>
        <v>13.88</v>
      </c>
    </row>
    <row r="44" spans="3:6" s="10" customFormat="1" ht="12.75">
      <c r="C44" s="37"/>
      <c r="D44" s="11"/>
      <c r="E44" s="11"/>
      <c r="F44" s="11"/>
    </row>
  </sheetData>
  <sheetProtection/>
  <mergeCells count="2">
    <mergeCell ref="A5:B5"/>
    <mergeCell ref="A2:F2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2021-02-26T13:14:57Z</cp:lastPrinted>
  <dcterms:created xsi:type="dcterms:W3CDTF">2003-02-20T14:27:52Z</dcterms:created>
  <dcterms:modified xsi:type="dcterms:W3CDTF">2021-03-03T09:29:02Z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