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3"/>
  </bookViews>
  <sheets>
    <sheet name="TOTAL" sheetId="1" r:id="rId1"/>
    <sheet name="evaluare" sheetId="2" r:id="rId2"/>
    <sheet name="cal_ISO" sheetId="3" r:id="rId3"/>
    <sheet name="cal_II" sheetId="4" r:id="rId4"/>
  </sheets>
  <externalReferences>
    <externalReference r:id="rId7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3">'cal_II'!$A$1:$E$50</definedName>
    <definedName name="_xlnm.Print_Area" localSheetId="2">'cal_ISO'!$A$1:$E$51</definedName>
    <definedName name="_xlnm.Print_Area" localSheetId="1">'evaluare'!$A$1:$D$44</definedName>
    <definedName name="_xlnm.Print_Area" localSheetId="0">'TOTAL'!$A$1:$F$43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<sst xmlns="http://schemas.openxmlformats.org/spreadsheetml/2006/main" count="187" uniqueCount="67">
  <si>
    <t>Nr.crt.</t>
  </si>
  <si>
    <t>FURNIZOR</t>
  </si>
  <si>
    <t>Fond alocat 1</t>
  </si>
  <si>
    <t>TOTAL</t>
  </si>
  <si>
    <t>VAL.PUNCT=</t>
  </si>
  <si>
    <t>FOND TOTAL ALOCAT LABORATOARE</t>
  </si>
  <si>
    <t>Aprobat,</t>
  </si>
  <si>
    <t>Avizat,</t>
  </si>
  <si>
    <t>3=col.2/total col.2*  total fond 1</t>
  </si>
  <si>
    <t>VALOARE PUNCT</t>
  </si>
  <si>
    <t>ANGELMED SRL</t>
  </si>
  <si>
    <t>CLINICA SANTE SRL</t>
  </si>
  <si>
    <t>HELICOMED SRL</t>
  </si>
  <si>
    <t>LARMED SCM</t>
  </si>
  <si>
    <t>LUMISAN SRL</t>
  </si>
  <si>
    <t>NETCONSULT SRL</t>
  </si>
  <si>
    <t>SYNEVO ROMANIA SRL</t>
  </si>
  <si>
    <t>TRITEST SRL</t>
  </si>
  <si>
    <t>LABORATOARELE BIOCLINICA SRL</t>
  </si>
  <si>
    <t xml:space="preserve"> Fond evaluare(50%)</t>
  </si>
  <si>
    <t>evaluare 50%</t>
  </si>
  <si>
    <t>LABORATOARELE SYNLAB</t>
  </si>
  <si>
    <t>SERVICII DE LABORATOR - CRITERIUL EVALUARE RESURSE</t>
  </si>
  <si>
    <t>SERVICII DE LABORATOR - CRITERIUL MANAGEMENT - ISO</t>
  </si>
  <si>
    <t xml:space="preserve">SERVICII DE LABORATOR - CRITERIUL MANAGEMENT -SCHEME TESTARE COMPETENTA </t>
  </si>
  <si>
    <t>FOND cr.calitate a)(50%din 50%)</t>
  </si>
  <si>
    <t>calitate ISO 50 din 50%</t>
  </si>
  <si>
    <t>calitate scheme 50 din 50%</t>
  </si>
  <si>
    <t>SCM ROCONSIMEDICA CLINIC</t>
  </si>
  <si>
    <t xml:space="preserve">Fond alocat </t>
  </si>
  <si>
    <t xml:space="preserve">3=col.2/total col.2* total fond </t>
  </si>
  <si>
    <t xml:space="preserve">3=col.2/total col.2*  total fond </t>
  </si>
  <si>
    <t>BIODEV MEDICAL CENTER SRL</t>
  </si>
  <si>
    <t>C.M. SF. NICOLAE SRL</t>
  </si>
  <si>
    <t>INVESTIGATII MEDICALE PRAXIS SRL</t>
  </si>
  <si>
    <t>LAB. ASOC. NICOLINA</t>
  </si>
  <si>
    <t>LAB.PT.ANALIZE MEDICALE SRL</t>
  </si>
  <si>
    <t>MITROPOLIA MOLDOVEI SI BUCOVINEI</t>
  </si>
  <si>
    <t>SPITALUL CLINIC  DR.C.I.PARHON IASI</t>
  </si>
  <si>
    <t>SPITALUL CLINIC CF IASI</t>
  </si>
  <si>
    <t>SPITALUL CLINIC DE URGENTA PENTRU COPII "SF.MARIA" IASI</t>
  </si>
  <si>
    <t>SPITALUL CLINIC JUDETEAN DE URGENTA "SF. SPIRIDON" IASI</t>
  </si>
  <si>
    <t>SPITALUL MUNICIPAL DE URGENTA PASCANI</t>
  </si>
  <si>
    <t>TOP MEDICAL GRUP SRL</t>
  </si>
  <si>
    <t>TRANSMED EXPERT  SRL</t>
  </si>
  <si>
    <t>MEDVERO SRL</t>
  </si>
  <si>
    <t>CENTRUL MEDICAL UNIREA SRL</t>
  </si>
  <si>
    <t>KARSUS MEDICAL SRL(INTERDENTIS PASCANI)</t>
  </si>
  <si>
    <t>INSTITUTUL REGIONAL DE ONCOLOGIE IASI</t>
  </si>
  <si>
    <t>Radu Gheorghe ȚIBICHI</t>
  </si>
  <si>
    <t>Observatii</t>
  </si>
  <si>
    <t>(+18 pct - v. Referat Ev.Contractare 180/18.09.2018)</t>
  </si>
  <si>
    <t>BIODEV MEDICAL CENTER SRL - 2 pct.de lucru</t>
  </si>
  <si>
    <t>RECUMEDIS (fost  RED CLINIC )</t>
  </si>
  <si>
    <t>SPITALUL CLINIC DE RECUPERARE</t>
  </si>
  <si>
    <t>DIRECTOR GENERAL</t>
  </si>
  <si>
    <t>INSTITUTUL DE PSIHIATRIE SOCOLA</t>
  </si>
  <si>
    <t>Sabina BUTNARU</t>
  </si>
  <si>
    <t>puncte 2021</t>
  </si>
  <si>
    <t>DIF.2021 FATA DE 2020</t>
  </si>
  <si>
    <t>Nr. crt.</t>
  </si>
  <si>
    <t>SC ELYTIS LABORATORY</t>
  </si>
  <si>
    <t>DIRECTOR  EXECUTIV DRC</t>
  </si>
  <si>
    <t>PUNCTAJ AN 2020</t>
  </si>
  <si>
    <t>STEFANIA MEDICAL SRL (incetare contract cu 07.12.2021)</t>
  </si>
  <si>
    <t>suspendare nov., cnf.ref. Ev. Contractare 114/04.11.2021 si 117/18.11.2021, incetare contract cu 07.12.2021 cnf.ref. Ev. Contractare 121/06.12.2021</t>
  </si>
  <si>
    <t xml:space="preserve"> TOTAL CRITERII DE SELECTIE  - SERVICII PARACLINICE DE LABORATOR  - SUPLIMENTARE DEC.2021 - II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</si>
</sst>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_);[Red]\(0.00\)"/>
    <numFmt numFmtId="181" formatCode="#,##0.000"/>
    <numFmt numFmtId="182" formatCode="#,##0.0000"/>
    <numFmt numFmtId="183" formatCode="0.0"/>
    <numFmt numFmtId="184" formatCode="0.000"/>
    <numFmt numFmtId="185" formatCode="0.0000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i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2" applyNumberFormat="0" applyAlignment="0" applyProtection="0"/>
    <xf numFmtId="0" fontId="18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7" fillId="20" borderId="9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</cellStyleXfs>
  <cellXfs count="160">
    <xf numFmtId="0" fontId="0" fillId="0" borderId="0" xfId="0" applyNumberFormat="1" applyBorder="1" applyAlignment="1">
      <alignment/>
    </xf>
    <xf numFmtId="0" fontId="1" fillId="0" borderId="0" xfId="57" applyFont="1" applyFill="1" applyAlignment="1">
      <alignment vertical="center"/>
      <protection/>
    </xf>
    <xf numFmtId="1" fontId="1" fillId="0" borderId="0" xfId="57" applyNumberFormat="1" applyFont="1" applyFill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0" fontId="1" fillId="0" borderId="11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0" fontId="0" fillId="24" borderId="1" xfId="0" applyNumberFormat="1" applyFont="1" applyFill="1" applyBorder="1" applyAlignment="1">
      <alignment vertical="center" wrapText="1"/>
    </xf>
    <xf numFmtId="0" fontId="1" fillId="0" borderId="1" xfId="57" applyFont="1" applyFill="1" applyBorder="1" applyAlignment="1">
      <alignment vertical="center"/>
      <protection/>
    </xf>
    <xf numFmtId="0" fontId="1" fillId="0" borderId="12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1" fontId="4" fillId="0" borderId="0" xfId="57" applyNumberFormat="1" applyFont="1" applyFill="1" applyBorder="1" applyAlignment="1">
      <alignment vertical="center" wrapText="1"/>
      <protection/>
    </xf>
    <xf numFmtId="1" fontId="7" fillId="0" borderId="0" xfId="57" applyNumberFormat="1" applyFont="1" applyFill="1" applyBorder="1" applyAlignment="1">
      <alignment horizontal="center" vertical="center" wrapText="1"/>
      <protection/>
    </xf>
    <xf numFmtId="1" fontId="1" fillId="0" borderId="0" xfId="57" applyNumberFormat="1" applyFont="1" applyFill="1" applyBorder="1" applyAlignment="1">
      <alignment horizontal="center" vertical="center"/>
      <protection/>
    </xf>
    <xf numFmtId="0" fontId="8" fillId="0" borderId="0" xfId="57" applyFont="1" applyFill="1" applyAlignment="1">
      <alignment vertical="center"/>
      <protection/>
    </xf>
    <xf numFmtId="0" fontId="1" fillId="0" borderId="14" xfId="57" applyFont="1" applyFill="1" applyBorder="1" applyAlignment="1">
      <alignment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0" fontId="6" fillId="24" borderId="0" xfId="57" applyFont="1" applyFill="1" applyBorder="1" applyAlignment="1">
      <alignment vertical="center"/>
      <protection/>
    </xf>
    <xf numFmtId="1" fontId="7" fillId="0" borderId="15" xfId="57" applyNumberFormat="1" applyFont="1" applyFill="1" applyBorder="1" applyAlignment="1">
      <alignment vertical="center" wrapText="1"/>
      <protection/>
    </xf>
    <xf numFmtId="1" fontId="7" fillId="0" borderId="14" xfId="57" applyNumberFormat="1" applyFont="1" applyFill="1" applyBorder="1" applyAlignment="1">
      <alignment horizontal="center" vertical="center" wrapText="1"/>
      <protection/>
    </xf>
    <xf numFmtId="3" fontId="7" fillId="0" borderId="14" xfId="57" applyNumberFormat="1" applyFont="1" applyFill="1" applyBorder="1" applyAlignment="1">
      <alignment horizontal="center" vertical="center" wrapText="1"/>
      <protection/>
    </xf>
    <xf numFmtId="1" fontId="1" fillId="0" borderId="14" xfId="57" applyNumberFormat="1" applyFont="1" applyFill="1" applyBorder="1" applyAlignment="1">
      <alignment horizontal="center" vertical="center"/>
      <protection/>
    </xf>
    <xf numFmtId="4" fontId="6" fillId="24" borderId="0" xfId="57" applyNumberFormat="1" applyFont="1" applyFill="1" applyBorder="1" applyAlignment="1">
      <alignment vertical="center"/>
      <protection/>
    </xf>
    <xf numFmtId="3" fontId="1" fillId="0" borderId="14" xfId="57" applyNumberFormat="1" applyFont="1" applyFill="1" applyBorder="1" applyAlignment="1">
      <alignment horizontal="center" vertical="center"/>
      <protection/>
    </xf>
    <xf numFmtId="1" fontId="7" fillId="0" borderId="16" xfId="57" applyNumberFormat="1" applyFont="1" applyFill="1" applyBorder="1" applyAlignment="1">
      <alignment horizontal="center" vertical="center" wrapText="1"/>
      <protection/>
    </xf>
    <xf numFmtId="4" fontId="1" fillId="0" borderId="17" xfId="57" applyNumberFormat="1" applyFont="1" applyFill="1" applyBorder="1" applyAlignment="1">
      <alignment horizontal="center" vertical="center" wrapText="1"/>
      <protection/>
    </xf>
    <xf numFmtId="0" fontId="0" fillId="0" borderId="18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vertical="center"/>
      <protection/>
    </xf>
    <xf numFmtId="4" fontId="0" fillId="24" borderId="0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19" xfId="57" applyNumberFormat="1" applyFont="1" applyFill="1" applyBorder="1" applyAlignment="1">
      <alignment vertical="center"/>
      <protection/>
    </xf>
    <xf numFmtId="4" fontId="1" fillId="0" borderId="20" xfId="57" applyNumberFormat="1" applyFont="1" applyFill="1" applyBorder="1" applyAlignment="1">
      <alignment vertical="center"/>
      <protection/>
    </xf>
    <xf numFmtId="4" fontId="0" fillId="0" borderId="20" xfId="57" applyNumberFormat="1" applyFont="1" applyFill="1" applyBorder="1" applyAlignment="1">
      <alignment vertical="center"/>
      <protection/>
    </xf>
    <xf numFmtId="4" fontId="1" fillId="0" borderId="21" xfId="57" applyNumberFormat="1" applyFont="1" applyFill="1" applyBorder="1" applyAlignment="1">
      <alignment vertical="center"/>
      <protection/>
    </xf>
    <xf numFmtId="4" fontId="1" fillId="0" borderId="16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4" fontId="0" fillId="24" borderId="0" xfId="57" applyNumberFormat="1" applyFont="1" applyFill="1" applyAlignment="1">
      <alignment vertical="center"/>
      <protection/>
    </xf>
    <xf numFmtId="1" fontId="1" fillId="0" borderId="16" xfId="57" applyNumberFormat="1" applyFont="1" applyFill="1" applyBorder="1" applyAlignment="1">
      <alignment horizontal="center" vertical="center" wrapText="1"/>
      <protection/>
    </xf>
    <xf numFmtId="4" fontId="1" fillId="0" borderId="22" xfId="57" applyNumberFormat="1" applyFont="1" applyFill="1" applyBorder="1" applyAlignment="1">
      <alignment vertical="center"/>
      <protection/>
    </xf>
    <xf numFmtId="49" fontId="1" fillId="0" borderId="23" xfId="57" applyNumberFormat="1" applyFont="1" applyFill="1" applyBorder="1" applyAlignment="1">
      <alignment vertical="center"/>
      <protection/>
    </xf>
    <xf numFmtId="40" fontId="0" fillId="0" borderId="0" xfId="57" applyNumberFormat="1" applyFont="1" applyFill="1" applyBorder="1" applyAlignment="1">
      <alignment vertical="center"/>
      <protection/>
    </xf>
    <xf numFmtId="4" fontId="0" fillId="0" borderId="24" xfId="57" applyNumberFormat="1" applyFont="1" applyFill="1" applyBorder="1" applyAlignment="1">
      <alignment horizontal="right" vertical="center"/>
      <protection/>
    </xf>
    <xf numFmtId="4" fontId="13" fillId="0" borderId="1" xfId="57" applyNumberFormat="1" applyFont="1" applyFill="1" applyBorder="1" applyAlignment="1">
      <alignment vertical="center"/>
      <protection/>
    </xf>
    <xf numFmtId="0" fontId="9" fillId="24" borderId="25" xfId="0" applyNumberFormat="1" applyFont="1" applyFill="1" applyBorder="1" applyAlignment="1">
      <alignment vertical="center" wrapText="1"/>
    </xf>
    <xf numFmtId="0" fontId="9" fillId="24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2" fontId="9" fillId="24" borderId="1" xfId="59" applyNumberFormat="1" applyFont="1" applyFill="1" applyBorder="1" applyAlignment="1">
      <alignment vertical="center" wrapText="1"/>
      <protection/>
    </xf>
    <xf numFmtId="49" fontId="9" fillId="0" borderId="26" xfId="57" applyNumberFormat="1" applyFont="1" applyFill="1" applyBorder="1" applyAlignment="1">
      <alignment vertical="center"/>
      <protection/>
    </xf>
    <xf numFmtId="49" fontId="9" fillId="0" borderId="27" xfId="57" applyNumberFormat="1" applyFont="1" applyFill="1" applyBorder="1" applyAlignment="1">
      <alignment vertical="center" wrapText="1"/>
      <protection/>
    </xf>
    <xf numFmtId="4" fontId="1" fillId="0" borderId="28" xfId="57" applyNumberFormat="1" applyFont="1" applyFill="1" applyBorder="1" applyAlignment="1">
      <alignment horizontal="center" vertical="center" wrapText="1"/>
      <protection/>
    </xf>
    <xf numFmtId="1" fontId="1" fillId="0" borderId="16" xfId="57" applyNumberFormat="1" applyFont="1" applyFill="1" applyBorder="1" applyAlignment="1">
      <alignment horizontal="center" vertical="center"/>
      <protection/>
    </xf>
    <xf numFmtId="4" fontId="0" fillId="0" borderId="29" xfId="57" applyNumberFormat="1" applyFont="1" applyFill="1" applyBorder="1" applyAlignment="1">
      <alignment vertical="center"/>
      <protection/>
    </xf>
    <xf numFmtId="4" fontId="0" fillId="0" borderId="30" xfId="57" applyNumberFormat="1" applyFont="1" applyFill="1" applyBorder="1" applyAlignment="1">
      <alignment vertical="center"/>
      <protection/>
    </xf>
    <xf numFmtId="4" fontId="0" fillId="24" borderId="30" xfId="57" applyNumberFormat="1" applyFont="1" applyFill="1" applyBorder="1" applyAlignment="1">
      <alignment vertical="center" wrapText="1"/>
      <protection/>
    </xf>
    <xf numFmtId="4" fontId="1" fillId="0" borderId="30" xfId="57" applyNumberFormat="1" applyFont="1" applyFill="1" applyBorder="1" applyAlignment="1">
      <alignment vertical="center"/>
      <protection/>
    </xf>
    <xf numFmtId="4" fontId="1" fillId="0" borderId="31" xfId="57" applyNumberFormat="1" applyFont="1" applyFill="1" applyBorder="1" applyAlignment="1">
      <alignment vertical="center"/>
      <protection/>
    </xf>
    <xf numFmtId="4" fontId="1" fillId="0" borderId="32" xfId="57" applyNumberFormat="1" applyFont="1" applyFill="1" applyBorder="1" applyAlignment="1">
      <alignment horizontal="center" vertical="center"/>
      <protection/>
    </xf>
    <xf numFmtId="1" fontId="1" fillId="0" borderId="32" xfId="57" applyNumberFormat="1" applyFont="1" applyFill="1" applyBorder="1" applyAlignment="1">
      <alignment horizontal="center" vertical="center" wrapText="1"/>
      <protection/>
    </xf>
    <xf numFmtId="4" fontId="0" fillId="0" borderId="26" xfId="57" applyNumberFormat="1" applyFont="1" applyFill="1" applyBorder="1" applyAlignment="1">
      <alignment vertical="center"/>
      <protection/>
    </xf>
    <xf numFmtId="4" fontId="0" fillId="0" borderId="27" xfId="57" applyNumberFormat="1" applyFont="1" applyFill="1" applyBorder="1" applyAlignment="1">
      <alignment vertical="center"/>
      <protection/>
    </xf>
    <xf numFmtId="4" fontId="1" fillId="0" borderId="23" xfId="57" applyNumberFormat="1" applyFont="1" applyFill="1" applyBorder="1" applyAlignment="1">
      <alignment vertical="center"/>
      <protection/>
    </xf>
    <xf numFmtId="49" fontId="9" fillId="0" borderId="27" xfId="57" applyNumberFormat="1" applyFont="1" applyFill="1" applyBorder="1" applyAlignment="1">
      <alignment vertical="center"/>
      <protection/>
    </xf>
    <xf numFmtId="2" fontId="10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Alignment="1">
      <alignment vertical="center"/>
      <protection/>
    </xf>
    <xf numFmtId="4" fontId="10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0" fontId="10" fillId="0" borderId="0" xfId="57" applyFont="1" applyFill="1" applyAlignment="1">
      <alignment vertical="center"/>
      <protection/>
    </xf>
    <xf numFmtId="2" fontId="12" fillId="0" borderId="0" xfId="57" applyNumberFormat="1" applyFont="1" applyFill="1" applyAlignment="1">
      <alignment vertical="center"/>
      <protection/>
    </xf>
    <xf numFmtId="4" fontId="12" fillId="0" borderId="0" xfId="57" applyNumberFormat="1" applyFont="1" applyFill="1" applyAlignment="1">
      <alignment vertical="center"/>
      <protection/>
    </xf>
    <xf numFmtId="0" fontId="12" fillId="0" borderId="0" xfId="0" applyNumberFormat="1" applyFont="1" applyFill="1" applyBorder="1" applyAlignment="1">
      <alignment horizontal="right" vertical="center"/>
    </xf>
    <xf numFmtId="0" fontId="1" fillId="0" borderId="17" xfId="57" applyFont="1" applyFill="1" applyBorder="1" applyAlignment="1">
      <alignment horizontal="center" vertical="center"/>
      <protection/>
    </xf>
    <xf numFmtId="4" fontId="1" fillId="0" borderId="28" xfId="57" applyNumberFormat="1" applyFont="1" applyFill="1" applyBorder="1" applyAlignment="1">
      <alignment horizontal="center" vertical="center"/>
      <protection/>
    </xf>
    <xf numFmtId="0" fontId="0" fillId="24" borderId="18" xfId="0" applyNumberFormat="1" applyFont="1" applyFill="1" applyBorder="1" applyAlignment="1">
      <alignment vertical="center"/>
    </xf>
    <xf numFmtId="0" fontId="0" fillId="24" borderId="0" xfId="57" applyFont="1" applyFill="1" applyBorder="1" applyAlignment="1">
      <alignment vertical="center"/>
      <protection/>
    </xf>
    <xf numFmtId="0" fontId="0" fillId="24" borderId="11" xfId="0" applyNumberFormat="1" applyFont="1" applyFill="1" applyBorder="1" applyAlignment="1">
      <alignment vertical="center"/>
    </xf>
    <xf numFmtId="3" fontId="9" fillId="24" borderId="1" xfId="0" applyFont="1" applyFill="1" applyBorder="1" applyAlignment="1">
      <alignment vertical="center" wrapText="1"/>
    </xf>
    <xf numFmtId="0" fontId="1" fillId="0" borderId="1" xfId="57" applyFont="1" applyFill="1" applyBorder="1" applyAlignment="1">
      <alignment vertical="center" wrapText="1"/>
      <protection/>
    </xf>
    <xf numFmtId="2" fontId="1" fillId="0" borderId="1" xfId="57" applyNumberFormat="1" applyFont="1" applyFill="1" applyBorder="1" applyAlignment="1">
      <alignment vertical="center"/>
      <protection/>
    </xf>
    <xf numFmtId="2" fontId="1" fillId="0" borderId="12" xfId="57" applyNumberFormat="1" applyFont="1" applyFill="1" applyBorder="1" applyAlignment="1">
      <alignment horizontal="center" vertical="center"/>
      <protection/>
    </xf>
    <xf numFmtId="3" fontId="1" fillId="0" borderId="21" xfId="57" applyNumberFormat="1" applyFont="1" applyFill="1" applyBorder="1" applyAlignment="1">
      <alignment horizontal="center" vertical="center"/>
      <protection/>
    </xf>
    <xf numFmtId="2" fontId="7" fillId="0" borderId="0" xfId="57" applyNumberFormat="1" applyFont="1" applyFill="1" applyBorder="1" applyAlignment="1">
      <alignment vertical="center"/>
      <protection/>
    </xf>
    <xf numFmtId="4" fontId="7" fillId="0" borderId="0" xfId="57" applyNumberFormat="1" applyFont="1" applyFill="1" applyBorder="1" applyAlignment="1">
      <alignment vertical="center"/>
      <protection/>
    </xf>
    <xf numFmtId="2" fontId="7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vertical="center"/>
      <protection/>
    </xf>
    <xf numFmtId="0" fontId="10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vertical="center"/>
    </xf>
    <xf numFmtId="4" fontId="10" fillId="0" borderId="0" xfId="57" applyNumberFormat="1" applyFont="1" applyFill="1" applyAlignment="1">
      <alignment vertical="center"/>
      <protection/>
    </xf>
    <xf numFmtId="0" fontId="11" fillId="0" borderId="0" xfId="0" applyNumberFormat="1" applyFont="1" applyBorder="1" applyAlignment="1">
      <alignment horizontal="center" vertical="center" wrapText="1"/>
    </xf>
    <xf numFmtId="4" fontId="0" fillId="0" borderId="25" xfId="57" applyNumberFormat="1" applyFont="1" applyFill="1" applyBorder="1" applyAlignment="1">
      <alignment vertical="center"/>
      <protection/>
    </xf>
    <xf numFmtId="0" fontId="0" fillId="0" borderId="33" xfId="57" applyFont="1" applyFill="1" applyBorder="1" applyAlignment="1">
      <alignment vertical="center"/>
      <protection/>
    </xf>
    <xf numFmtId="0" fontId="0" fillId="0" borderId="15" xfId="57" applyFont="1" applyFill="1" applyBorder="1" applyAlignment="1">
      <alignment vertical="center"/>
      <protection/>
    </xf>
    <xf numFmtId="1" fontId="7" fillId="0" borderId="0" xfId="57" applyNumberFormat="1" applyFont="1" applyFill="1" applyAlignment="1">
      <alignment horizontal="center" vertical="center" wrapText="1"/>
      <protection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14" xfId="58" applyNumberFormat="1" applyFont="1" applyFill="1" applyBorder="1" applyAlignment="1">
      <alignment horizontal="center" vertical="center" wrapText="1"/>
      <protection/>
    </xf>
    <xf numFmtId="0" fontId="7" fillId="0" borderId="34" xfId="57" applyFont="1" applyFill="1" applyBorder="1" applyAlignment="1">
      <alignment horizontal="center" vertical="center" wrapText="1"/>
      <protection/>
    </xf>
    <xf numFmtId="0" fontId="1" fillId="0" borderId="17" xfId="58" applyFont="1" applyFill="1" applyBorder="1" applyAlignment="1">
      <alignment horizontal="center" vertical="center"/>
      <protection/>
    </xf>
    <xf numFmtId="4" fontId="1" fillId="0" borderId="17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Alignment="1">
      <alignment horizontal="center" vertical="center"/>
      <protection/>
    </xf>
    <xf numFmtId="0" fontId="0" fillId="24" borderId="25" xfId="0" applyNumberFormat="1" applyFont="1" applyFill="1" applyBorder="1" applyAlignment="1">
      <alignment vertical="center" wrapText="1"/>
    </xf>
    <xf numFmtId="4" fontId="1" fillId="0" borderId="25" xfId="57" applyNumberFormat="1" applyFont="1" applyFill="1" applyBorder="1" applyAlignment="1">
      <alignment vertical="center"/>
      <protection/>
    </xf>
    <xf numFmtId="3" fontId="0" fillId="24" borderId="1" xfId="0" applyFont="1" applyFill="1" applyBorder="1" applyAlignment="1">
      <alignment vertical="center" wrapText="1"/>
    </xf>
    <xf numFmtId="2" fontId="0" fillId="24" borderId="1" xfId="59" applyNumberFormat="1" applyFont="1" applyFill="1" applyBorder="1" applyAlignment="1">
      <alignment vertical="center" wrapText="1"/>
      <protection/>
    </xf>
    <xf numFmtId="0" fontId="1" fillId="0" borderId="15" xfId="57" applyFont="1" applyFill="1" applyBorder="1" applyAlignment="1">
      <alignment vertical="center"/>
      <protection/>
    </xf>
    <xf numFmtId="4" fontId="11" fillId="0" borderId="0" xfId="57" applyNumberFormat="1" applyFont="1" applyFill="1" applyAlignment="1">
      <alignment vertical="center"/>
      <protection/>
    </xf>
    <xf numFmtId="4" fontId="0" fillId="0" borderId="19" xfId="57" applyNumberFormat="1" applyFont="1" applyFill="1" applyBorder="1" applyAlignment="1">
      <alignment horizontal="right" vertical="center"/>
      <protection/>
    </xf>
    <xf numFmtId="4" fontId="0" fillId="0" borderId="20" xfId="57" applyNumberFormat="1" applyFont="1" applyFill="1" applyBorder="1" applyAlignment="1">
      <alignment horizontal="right" vertical="center"/>
      <protection/>
    </xf>
    <xf numFmtId="4" fontId="1" fillId="0" borderId="1" xfId="57" applyNumberFormat="1" applyFont="1" applyFill="1" applyBorder="1" applyAlignment="1">
      <alignment horizontal="right" vertical="center"/>
      <protection/>
    </xf>
    <xf numFmtId="1" fontId="1" fillId="0" borderId="15" xfId="57" applyNumberFormat="1" applyFont="1" applyFill="1" applyBorder="1" applyAlignment="1">
      <alignment horizontal="center" vertical="center" wrapText="1"/>
      <protection/>
    </xf>
    <xf numFmtId="1" fontId="1" fillId="0" borderId="15" xfId="57" applyNumberFormat="1" applyFont="1" applyFill="1" applyBorder="1" applyAlignment="1">
      <alignment horizontal="center" vertical="center"/>
      <protection/>
    </xf>
    <xf numFmtId="4" fontId="0" fillId="0" borderId="35" xfId="57" applyNumberFormat="1" applyFont="1" applyFill="1" applyBorder="1" applyAlignment="1">
      <alignment vertical="center"/>
      <protection/>
    </xf>
    <xf numFmtId="49" fontId="9" fillId="0" borderId="36" xfId="57" applyNumberFormat="1" applyFont="1" applyFill="1" applyBorder="1" applyAlignment="1">
      <alignment vertical="center"/>
      <protection/>
    </xf>
    <xf numFmtId="4" fontId="1" fillId="25" borderId="12" xfId="57" applyNumberFormat="1" applyFont="1" applyFill="1" applyBorder="1" applyAlignment="1">
      <alignment horizontal="center" vertical="center"/>
      <protection/>
    </xf>
    <xf numFmtId="0" fontId="1" fillId="0" borderId="37" xfId="57" applyFont="1" applyFill="1" applyBorder="1" applyAlignment="1">
      <alignment vertical="center"/>
      <protection/>
    </xf>
    <xf numFmtId="4" fontId="1" fillId="0" borderId="38" xfId="57" applyNumberFormat="1" applyFont="1" applyFill="1" applyBorder="1" applyAlignment="1">
      <alignment vertical="center"/>
      <protection/>
    </xf>
    <xf numFmtId="4" fontId="1" fillId="25" borderId="39" xfId="57" applyNumberFormat="1" applyFont="1" applyFill="1" applyBorder="1" applyAlignment="1">
      <alignment vertical="center"/>
      <protection/>
    </xf>
    <xf numFmtId="0" fontId="0" fillId="0" borderId="11" xfId="0" applyNumberFormat="1" applyFont="1" applyFill="1" applyBorder="1" applyAlignment="1">
      <alignment vertical="center" wrapText="1"/>
    </xf>
    <xf numFmtId="0" fontId="6" fillId="24" borderId="11" xfId="0" applyNumberFormat="1" applyFont="1" applyFill="1" applyBorder="1" applyAlignment="1">
      <alignment vertical="center"/>
    </xf>
    <xf numFmtId="0" fontId="31" fillId="24" borderId="1" xfId="0" applyNumberFormat="1" applyFont="1" applyFill="1" applyBorder="1" applyAlignment="1">
      <alignment vertical="center" wrapText="1"/>
    </xf>
    <xf numFmtId="4" fontId="6" fillId="0" borderId="20" xfId="57" applyNumberFormat="1" applyFont="1" applyFill="1" applyBorder="1" applyAlignment="1">
      <alignment horizontal="right" vertical="center"/>
      <protection/>
    </xf>
    <xf numFmtId="49" fontId="33" fillId="0" borderId="27" xfId="57" applyNumberFormat="1" applyFont="1" applyFill="1" applyBorder="1" applyAlignment="1">
      <alignment horizontal="left" vertical="center" wrapText="1"/>
      <protection/>
    </xf>
    <xf numFmtId="4" fontId="34" fillId="24" borderId="0" xfId="57" applyNumberFormat="1" applyFont="1" applyFill="1" applyAlignment="1">
      <alignment vertical="center"/>
      <protection/>
    </xf>
    <xf numFmtId="0" fontId="34" fillId="24" borderId="0" xfId="57" applyFont="1" applyFill="1" applyAlignment="1">
      <alignment vertical="center"/>
      <protection/>
    </xf>
    <xf numFmtId="0" fontId="6" fillId="0" borderId="11" xfId="0" applyNumberFormat="1" applyFont="1" applyFill="1" applyBorder="1" applyAlignment="1">
      <alignment vertical="center"/>
    </xf>
    <xf numFmtId="4" fontId="6" fillId="0" borderId="27" xfId="57" applyNumberFormat="1" applyFont="1" applyFill="1" applyBorder="1" applyAlignment="1">
      <alignment vertical="center"/>
      <protection/>
    </xf>
    <xf numFmtId="4" fontId="6" fillId="0" borderId="30" xfId="57" applyNumberFormat="1" applyFont="1" applyFill="1" applyBorder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4" fontId="6" fillId="0" borderId="20" xfId="57" applyNumberFormat="1" applyFont="1" applyFill="1" applyBorder="1" applyAlignment="1">
      <alignment vertical="center"/>
      <protection/>
    </xf>
    <xf numFmtId="40" fontId="6" fillId="0" borderId="0" xfId="57" applyNumberFormat="1" applyFont="1" applyFill="1" applyBorder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4" fontId="32" fillId="0" borderId="1" xfId="57" applyNumberFormat="1" applyFont="1" applyFill="1" applyBorder="1" applyAlignment="1">
      <alignment vertical="center"/>
      <protection/>
    </xf>
    <xf numFmtId="4" fontId="6" fillId="0" borderId="1" xfId="57" applyNumberFormat="1" applyFont="1" applyFill="1" applyBorder="1" applyAlignment="1">
      <alignment vertical="center"/>
      <protection/>
    </xf>
    <xf numFmtId="4" fontId="6" fillId="24" borderId="0" xfId="57" applyNumberFormat="1" applyFont="1" applyFill="1" applyAlignment="1">
      <alignment vertical="center"/>
      <protection/>
    </xf>
    <xf numFmtId="0" fontId="6" fillId="24" borderId="0" xfId="57" applyFont="1" applyFill="1" applyAlignment="1">
      <alignment vertical="center"/>
      <protection/>
    </xf>
    <xf numFmtId="4" fontId="13" fillId="0" borderId="25" xfId="57" applyNumberFormat="1" applyFont="1" applyFill="1" applyBorder="1" applyAlignment="1">
      <alignment vertical="center"/>
      <protection/>
    </xf>
    <xf numFmtId="4" fontId="0" fillId="20" borderId="1" xfId="57" applyNumberFormat="1" applyFont="1" applyFill="1" applyBorder="1" applyAlignment="1">
      <alignment vertical="center"/>
      <protection/>
    </xf>
    <xf numFmtId="4" fontId="13" fillId="20" borderId="1" xfId="57" applyNumberFormat="1" applyFont="1" applyFill="1" applyBorder="1" applyAlignment="1">
      <alignment vertical="center"/>
      <protection/>
    </xf>
    <xf numFmtId="4" fontId="0" fillId="20" borderId="20" xfId="57" applyNumberFormat="1" applyFont="1" applyFill="1" applyBorder="1" applyAlignment="1">
      <alignment vertical="center"/>
      <protection/>
    </xf>
    <xf numFmtId="4" fontId="32" fillId="0" borderId="20" xfId="57" applyNumberFormat="1" applyFont="1" applyFill="1" applyBorder="1" applyAlignment="1">
      <alignment vertical="center"/>
      <protection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4" fontId="1" fillId="0" borderId="26" xfId="57" applyNumberFormat="1" applyFont="1" applyFill="1" applyBorder="1" applyAlignment="1">
      <alignment horizontal="center" vertical="center"/>
      <protection/>
    </xf>
    <xf numFmtId="4" fontId="10" fillId="0" borderId="0" xfId="0" applyNumberFormat="1" applyFont="1" applyFill="1" applyBorder="1" applyAlignment="1">
      <alignment horizontal="left" vertical="center" wrapText="1"/>
    </xf>
    <xf numFmtId="2" fontId="10" fillId="0" borderId="0" xfId="57" applyNumberFormat="1" applyFont="1" applyFill="1" applyAlignment="1">
      <alignment horizontal="center" vertical="center" wrapText="1"/>
      <protection/>
    </xf>
    <xf numFmtId="4" fontId="1" fillId="0" borderId="36" xfId="57" applyNumberFormat="1" applyFont="1" applyFill="1" applyBorder="1" applyAlignment="1">
      <alignment horizontal="center" vertical="center"/>
      <protection/>
    </xf>
    <xf numFmtId="4" fontId="1" fillId="0" borderId="40" xfId="57" applyNumberFormat="1" applyFont="1" applyFill="1" applyBorder="1" applyAlignment="1">
      <alignment horizontal="center" vertical="center"/>
      <protection/>
    </xf>
    <xf numFmtId="4" fontId="1" fillId="0" borderId="41" xfId="57" applyNumberFormat="1" applyFont="1" applyFill="1" applyBorder="1" applyAlignment="1">
      <alignment horizontal="center" vertical="center"/>
      <protection/>
    </xf>
    <xf numFmtId="0" fontId="10" fillId="0" borderId="0" xfId="57" applyFont="1" applyFill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rmal_all--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view="pageBreakPreview" zoomScaleSheetLayoutView="100" zoomScalePageLayoutView="0" workbookViewId="0" topLeftCell="A36">
      <selection activeCell="A44" sqref="A44:IV45"/>
    </sheetView>
  </sheetViews>
  <sheetFormatPr defaultColWidth="9.140625" defaultRowHeight="12.75"/>
  <cols>
    <col min="1" max="1" width="3.421875" style="72" customWidth="1"/>
    <col min="2" max="2" width="43.8515625" style="72" customWidth="1"/>
    <col min="3" max="3" width="15.00390625" style="98" customWidth="1"/>
    <col min="4" max="4" width="16.28125" style="115" customWidth="1"/>
    <col min="5" max="5" width="15.28125" style="115" customWidth="1"/>
    <col min="6" max="6" width="16.140625" style="115" customWidth="1"/>
    <col min="7" max="16384" width="9.140625" style="72" customWidth="1"/>
  </cols>
  <sheetData>
    <row r="1" spans="1:6" ht="24.75" customHeight="1">
      <c r="A1" s="152" t="s">
        <v>66</v>
      </c>
      <c r="B1" s="152"/>
      <c r="C1" s="152"/>
      <c r="D1" s="152"/>
      <c r="E1" s="152"/>
      <c r="F1" s="152"/>
    </row>
    <row r="2" spans="1:6" ht="15.75" customHeight="1">
      <c r="A2" s="70"/>
      <c r="B2" s="71"/>
      <c r="C2" s="96"/>
      <c r="D2" s="71"/>
      <c r="E2" s="76"/>
      <c r="F2" s="77"/>
    </row>
    <row r="3" spans="1:5" s="13" customFormat="1" ht="18" customHeight="1" thickBot="1">
      <c r="A3" s="150">
        <v>44451</v>
      </c>
      <c r="B3" s="151"/>
      <c r="C3" s="1"/>
      <c r="D3" s="43"/>
      <c r="E3" s="43"/>
    </row>
    <row r="4" spans="1:6" s="109" customFormat="1" ht="54" customHeight="1" thickBot="1">
      <c r="A4" s="106" t="s">
        <v>0</v>
      </c>
      <c r="B4" s="107" t="s">
        <v>1</v>
      </c>
      <c r="C4" s="108" t="s">
        <v>3</v>
      </c>
      <c r="D4" s="108" t="s">
        <v>20</v>
      </c>
      <c r="E4" s="32" t="s">
        <v>26</v>
      </c>
      <c r="F4" s="57" t="s">
        <v>27</v>
      </c>
    </row>
    <row r="5" spans="1:6" s="103" customFormat="1" ht="25.5" customHeight="1" thickBot="1">
      <c r="A5" s="104">
        <v>0</v>
      </c>
      <c r="B5" s="105">
        <v>1</v>
      </c>
      <c r="C5" s="26">
        <v>2</v>
      </c>
      <c r="D5" s="26">
        <v>3</v>
      </c>
      <c r="E5" s="26">
        <v>4</v>
      </c>
      <c r="F5" s="31">
        <v>5</v>
      </c>
    </row>
    <row r="6" spans="1:11" s="13" customFormat="1" ht="12.75">
      <c r="A6" s="33">
        <v>1</v>
      </c>
      <c r="B6" s="110" t="s">
        <v>10</v>
      </c>
      <c r="C6" s="111">
        <f>SUM(D6:F6)</f>
        <v>5554.77</v>
      </c>
      <c r="D6" s="100">
        <f>evaluare!D6</f>
        <v>2536.03</v>
      </c>
      <c r="E6" s="100">
        <f>cal_ISO!D14</f>
        <v>1628.76</v>
      </c>
      <c r="F6" s="38">
        <f>cal_II!D13</f>
        <v>1389.98</v>
      </c>
      <c r="G6" s="43"/>
      <c r="H6" s="43"/>
      <c r="I6" s="43"/>
      <c r="J6" s="43"/>
      <c r="K6" s="43"/>
    </row>
    <row r="7" spans="1:11" s="14" customFormat="1" ht="12.75">
      <c r="A7" s="86">
        <f>A6+1</f>
        <v>2</v>
      </c>
      <c r="B7" s="9" t="s">
        <v>32</v>
      </c>
      <c r="C7" s="5">
        <f aca="true" t="shared" si="0" ref="C7:C38">SUM(D7:F7)</f>
        <v>11873.130000000001</v>
      </c>
      <c r="D7" s="35">
        <f>evaluare!D7</f>
        <v>3743.51</v>
      </c>
      <c r="E7" s="35">
        <f>cal_ISO!D15</f>
        <v>3667.56</v>
      </c>
      <c r="F7" s="40">
        <f>cal_II!D14</f>
        <v>4462.06</v>
      </c>
      <c r="G7" s="44"/>
      <c r="H7" s="44"/>
      <c r="I7" s="44"/>
      <c r="J7" s="44"/>
      <c r="K7" s="44"/>
    </row>
    <row r="8" spans="1:11" s="14" customFormat="1" ht="12.75">
      <c r="A8" s="86">
        <f aca="true" t="shared" si="1" ref="A8:A38">A7+1</f>
        <v>3</v>
      </c>
      <c r="B8" s="9" t="s">
        <v>33</v>
      </c>
      <c r="C8" s="5">
        <f t="shared" si="0"/>
        <v>3740.85</v>
      </c>
      <c r="D8" s="35">
        <f>evaluare!D8</f>
        <v>2314.22</v>
      </c>
      <c r="E8" s="35">
        <f>cal_ISO!D16</f>
        <v>683.4</v>
      </c>
      <c r="F8" s="40">
        <f>cal_II!D15</f>
        <v>743.23</v>
      </c>
      <c r="G8" s="44"/>
      <c r="H8" s="44"/>
      <c r="I8" s="44"/>
      <c r="J8" s="44"/>
      <c r="K8" s="44"/>
    </row>
    <row r="9" spans="1:11" s="14" customFormat="1" ht="12.75">
      <c r="A9" s="86">
        <f t="shared" si="1"/>
        <v>4</v>
      </c>
      <c r="B9" s="9" t="s">
        <v>12</v>
      </c>
      <c r="C9" s="5">
        <f t="shared" si="0"/>
        <v>4509.5</v>
      </c>
      <c r="D9" s="35">
        <f>evaluare!D9</f>
        <v>2220.37</v>
      </c>
      <c r="E9" s="35">
        <f>cal_ISO!D17</f>
        <v>1389.57</v>
      </c>
      <c r="F9" s="40">
        <f>cal_II!D16</f>
        <v>899.56</v>
      </c>
      <c r="G9" s="44"/>
      <c r="H9" s="44"/>
      <c r="I9" s="44"/>
      <c r="J9" s="44"/>
      <c r="K9" s="44"/>
    </row>
    <row r="10" spans="1:11" s="14" customFormat="1" ht="12.75">
      <c r="A10" s="86">
        <f t="shared" si="1"/>
        <v>5</v>
      </c>
      <c r="B10" s="112" t="s">
        <v>56</v>
      </c>
      <c r="C10" s="5">
        <f>SUM(D10:F10)</f>
        <v>0</v>
      </c>
      <c r="D10" s="35">
        <f>evaluare!D10</f>
        <v>0</v>
      </c>
      <c r="E10" s="35">
        <f>cal_ISO!D18</f>
        <v>0</v>
      </c>
      <c r="F10" s="40">
        <f>cal_II!D17</f>
        <v>0</v>
      </c>
      <c r="G10" s="44"/>
      <c r="H10" s="44"/>
      <c r="I10" s="44"/>
      <c r="J10" s="44"/>
      <c r="K10" s="44"/>
    </row>
    <row r="11" spans="1:11" s="13" customFormat="1" ht="12.75">
      <c r="A11" s="86">
        <f t="shared" si="1"/>
        <v>6</v>
      </c>
      <c r="B11" s="113" t="s">
        <v>48</v>
      </c>
      <c r="C11" s="5">
        <f>SUM(D11:F11)</f>
        <v>8415.89</v>
      </c>
      <c r="D11" s="35">
        <f>evaluare!D11</f>
        <v>5823.93</v>
      </c>
      <c r="E11" s="35">
        <f>cal_ISO!D19</f>
        <v>1435.13</v>
      </c>
      <c r="F11" s="40">
        <f>cal_II!D18</f>
        <v>1156.83</v>
      </c>
      <c r="G11" s="43"/>
      <c r="H11" s="43"/>
      <c r="I11" s="43"/>
      <c r="J11" s="43"/>
      <c r="K11" s="43"/>
    </row>
    <row r="12" spans="1:11" s="14" customFormat="1" ht="12.75">
      <c r="A12" s="86">
        <f t="shared" si="1"/>
        <v>7</v>
      </c>
      <c r="B12" s="9" t="s">
        <v>34</v>
      </c>
      <c r="C12" s="5">
        <f t="shared" si="0"/>
        <v>15342.830000000002</v>
      </c>
      <c r="D12" s="35">
        <f>evaluare!D12</f>
        <v>11165.02</v>
      </c>
      <c r="E12" s="35">
        <f>cal_ISO!D20</f>
        <v>1833.78</v>
      </c>
      <c r="F12" s="40">
        <f>cal_II!D19</f>
        <v>2344.03</v>
      </c>
      <c r="G12" s="44"/>
      <c r="H12" s="44"/>
      <c r="I12" s="44"/>
      <c r="J12" s="44"/>
      <c r="K12" s="44"/>
    </row>
    <row r="13" spans="1:11" s="14" customFormat="1" ht="12.75">
      <c r="A13" s="86">
        <f t="shared" si="1"/>
        <v>8</v>
      </c>
      <c r="B13" s="9" t="s">
        <v>47</v>
      </c>
      <c r="C13" s="5">
        <f t="shared" si="0"/>
        <v>3066.46</v>
      </c>
      <c r="D13" s="35">
        <f>evaluare!D13</f>
        <v>1456.48</v>
      </c>
      <c r="E13" s="35">
        <f>cal_ISO!D21</f>
        <v>808.69</v>
      </c>
      <c r="F13" s="40">
        <f>cal_II!D20</f>
        <v>801.29</v>
      </c>
      <c r="G13" s="44"/>
      <c r="H13" s="44"/>
      <c r="I13" s="44"/>
      <c r="J13" s="44"/>
      <c r="K13" s="44"/>
    </row>
    <row r="14" spans="1:11" s="14" customFormat="1" ht="12.75">
      <c r="A14" s="86">
        <f t="shared" si="1"/>
        <v>9</v>
      </c>
      <c r="B14" s="9" t="s">
        <v>35</v>
      </c>
      <c r="C14" s="5">
        <f t="shared" si="0"/>
        <v>3443.2400000000002</v>
      </c>
      <c r="D14" s="35">
        <f>evaluare!D14</f>
        <v>940.83</v>
      </c>
      <c r="E14" s="35">
        <f>cal_ISO!D22</f>
        <v>1537.64</v>
      </c>
      <c r="F14" s="40">
        <f>cal_II!D21</f>
        <v>964.77</v>
      </c>
      <c r="G14" s="44"/>
      <c r="H14" s="44"/>
      <c r="I14" s="44"/>
      <c r="J14" s="44"/>
      <c r="K14" s="44"/>
    </row>
    <row r="15" spans="1:11" s="14" customFormat="1" ht="12.75">
      <c r="A15" s="86">
        <f t="shared" si="1"/>
        <v>10</v>
      </c>
      <c r="B15" s="9" t="s">
        <v>36</v>
      </c>
      <c r="C15" s="5">
        <f t="shared" si="0"/>
        <v>4284.08</v>
      </c>
      <c r="D15" s="35">
        <f>evaluare!D15</f>
        <v>1522.17</v>
      </c>
      <c r="E15" s="35">
        <f>cal_ISO!D23</f>
        <v>1514.86</v>
      </c>
      <c r="F15" s="40">
        <f>cal_II!D22</f>
        <v>1247.05</v>
      </c>
      <c r="G15" s="44"/>
      <c r="H15" s="44"/>
      <c r="I15" s="44"/>
      <c r="J15" s="44"/>
      <c r="K15" s="44"/>
    </row>
    <row r="16" spans="1:11" s="14" customFormat="1" ht="12.75">
      <c r="A16" s="86">
        <f t="shared" si="1"/>
        <v>11</v>
      </c>
      <c r="B16" s="9" t="s">
        <v>21</v>
      </c>
      <c r="C16" s="5">
        <f>SUM(D16:F16)</f>
        <v>5080.05</v>
      </c>
      <c r="D16" s="35">
        <f>evaluare!D16</f>
        <v>2187.03</v>
      </c>
      <c r="E16" s="35">
        <f>cal_ISO!D24</f>
        <v>1799.61</v>
      </c>
      <c r="F16" s="40">
        <f>cal_II!D23</f>
        <v>1093.41</v>
      </c>
      <c r="G16" s="44"/>
      <c r="H16" s="44"/>
      <c r="I16" s="44"/>
      <c r="J16" s="44"/>
      <c r="K16" s="44"/>
    </row>
    <row r="17" spans="1:11" s="14" customFormat="1" ht="12.75">
      <c r="A17" s="86">
        <f t="shared" si="1"/>
        <v>12</v>
      </c>
      <c r="B17" s="9" t="s">
        <v>13</v>
      </c>
      <c r="C17" s="5">
        <f t="shared" si="0"/>
        <v>6319.62</v>
      </c>
      <c r="D17" s="35">
        <f>evaluare!D17</f>
        <v>2193.17</v>
      </c>
      <c r="E17" s="35">
        <f>cal_ISO!D25</f>
        <v>1811</v>
      </c>
      <c r="F17" s="40">
        <f>cal_II!D24</f>
        <v>2315.45</v>
      </c>
      <c r="G17" s="44"/>
      <c r="H17" s="44"/>
      <c r="I17" s="44"/>
      <c r="J17" s="44"/>
      <c r="K17" s="44"/>
    </row>
    <row r="18" spans="1:11" s="14" customFormat="1" ht="12.75">
      <c r="A18" s="86">
        <f t="shared" si="1"/>
        <v>13</v>
      </c>
      <c r="B18" s="9" t="s">
        <v>14</v>
      </c>
      <c r="C18" s="5">
        <f t="shared" si="0"/>
        <v>3786.5299999999997</v>
      </c>
      <c r="D18" s="35">
        <f>evaluare!D18</f>
        <v>2093.47</v>
      </c>
      <c r="E18" s="35">
        <f>cal_ISO!D26</f>
        <v>808.69</v>
      </c>
      <c r="F18" s="40">
        <f>cal_II!D25</f>
        <v>884.37</v>
      </c>
      <c r="G18" s="44"/>
      <c r="H18" s="44"/>
      <c r="I18" s="44"/>
      <c r="J18" s="44"/>
      <c r="K18" s="44"/>
    </row>
    <row r="19" spans="1:11" s="14" customFormat="1" ht="12.75">
      <c r="A19" s="86">
        <f t="shared" si="1"/>
        <v>14</v>
      </c>
      <c r="B19" s="9" t="s">
        <v>45</v>
      </c>
      <c r="C19" s="5">
        <f t="shared" si="0"/>
        <v>2800.51</v>
      </c>
      <c r="D19" s="35">
        <f>evaluare!D19</f>
        <v>1246.13</v>
      </c>
      <c r="E19" s="35">
        <f>cal_ISO!D27</f>
        <v>820.08</v>
      </c>
      <c r="F19" s="40">
        <f>cal_II!D26</f>
        <v>734.3</v>
      </c>
      <c r="G19" s="44"/>
      <c r="H19" s="44"/>
      <c r="I19" s="44"/>
      <c r="J19" s="44"/>
      <c r="K19" s="44"/>
    </row>
    <row r="20" spans="1:11" s="14" customFormat="1" ht="12.75">
      <c r="A20" s="86">
        <f t="shared" si="1"/>
        <v>15</v>
      </c>
      <c r="B20" s="9" t="s">
        <v>37</v>
      </c>
      <c r="C20" s="5">
        <f t="shared" si="0"/>
        <v>4329.87</v>
      </c>
      <c r="D20" s="35">
        <f>evaluare!D20</f>
        <v>1544.95</v>
      </c>
      <c r="E20" s="35">
        <f>cal_ISO!D28</f>
        <v>1571.81</v>
      </c>
      <c r="F20" s="40">
        <f>cal_II!D27</f>
        <v>1213.11</v>
      </c>
      <c r="G20" s="44"/>
      <c r="H20" s="44"/>
      <c r="I20" s="44"/>
      <c r="J20" s="44"/>
      <c r="K20" s="44"/>
    </row>
    <row r="21" spans="1:11" s="14" customFormat="1" ht="12.75">
      <c r="A21" s="86">
        <f t="shared" si="1"/>
        <v>16</v>
      </c>
      <c r="B21" s="9" t="s">
        <v>15</v>
      </c>
      <c r="C21" s="5">
        <f t="shared" si="0"/>
        <v>0</v>
      </c>
      <c r="D21" s="35">
        <f>evaluare!D21</f>
        <v>0</v>
      </c>
      <c r="E21" s="35">
        <f>cal_ISO!D29</f>
        <v>0</v>
      </c>
      <c r="F21" s="40">
        <f>cal_II!D28</f>
        <v>0</v>
      </c>
      <c r="G21" s="44"/>
      <c r="H21" s="44"/>
      <c r="I21" s="44"/>
      <c r="J21" s="44"/>
      <c r="K21" s="44"/>
    </row>
    <row r="22" spans="1:11" s="14" customFormat="1" ht="18" customHeight="1">
      <c r="A22" s="86">
        <f t="shared" si="1"/>
        <v>17</v>
      </c>
      <c r="B22" s="8" t="s">
        <v>53</v>
      </c>
      <c r="C22" s="5">
        <f t="shared" si="0"/>
        <v>5172.13</v>
      </c>
      <c r="D22" s="35">
        <f>evaluare!D22</f>
        <v>2005.1</v>
      </c>
      <c r="E22" s="35">
        <f>cal_ISO!D30</f>
        <v>1537.64</v>
      </c>
      <c r="F22" s="40">
        <f>cal_II!D29</f>
        <v>1629.39</v>
      </c>
      <c r="G22" s="44"/>
      <c r="H22" s="44"/>
      <c r="I22" s="44"/>
      <c r="J22" s="44"/>
      <c r="K22" s="44"/>
    </row>
    <row r="23" spans="1:11" s="14" customFormat="1" ht="12.75">
      <c r="A23" s="86">
        <f t="shared" si="1"/>
        <v>18</v>
      </c>
      <c r="B23" s="8" t="s">
        <v>11</v>
      </c>
      <c r="C23" s="5">
        <f>SUM(D23:F23)</f>
        <v>7420.41</v>
      </c>
      <c r="D23" s="35">
        <f>evaluare!D23</f>
        <v>3911.69</v>
      </c>
      <c r="E23" s="35">
        <f>cal_ISO!D31</f>
        <v>1742.66</v>
      </c>
      <c r="F23" s="40">
        <f>cal_II!D30</f>
        <v>1766.06</v>
      </c>
      <c r="G23" s="44"/>
      <c r="H23" s="44"/>
      <c r="I23" s="44"/>
      <c r="J23" s="44"/>
      <c r="K23" s="44"/>
    </row>
    <row r="24" spans="1:11" s="13" customFormat="1" ht="12.75">
      <c r="A24" s="86">
        <f t="shared" si="1"/>
        <v>19</v>
      </c>
      <c r="B24" s="8" t="s">
        <v>16</v>
      </c>
      <c r="C24" s="5">
        <f>SUM(D24:F24)</f>
        <v>7022.910000000001</v>
      </c>
      <c r="D24" s="35">
        <f>evaluare!D24</f>
        <v>3798.03</v>
      </c>
      <c r="E24" s="35">
        <f>cal_ISO!D32</f>
        <v>1776.83</v>
      </c>
      <c r="F24" s="40">
        <f>cal_II!D31</f>
        <v>1448.05</v>
      </c>
      <c r="G24" s="43"/>
      <c r="H24" s="43"/>
      <c r="I24" s="43"/>
      <c r="J24" s="43"/>
      <c r="K24" s="43"/>
    </row>
    <row r="25" spans="1:11" s="13" customFormat="1" ht="12.75">
      <c r="A25" s="86">
        <f t="shared" si="1"/>
        <v>20</v>
      </c>
      <c r="B25" s="8" t="s">
        <v>46</v>
      </c>
      <c r="C25" s="5">
        <f>SUM(D25:F25)</f>
        <v>4711.77</v>
      </c>
      <c r="D25" s="35">
        <f>evaluare!D25</f>
        <v>2220.53</v>
      </c>
      <c r="E25" s="35">
        <f>cal_ISO!D33</f>
        <v>1514.86</v>
      </c>
      <c r="F25" s="40">
        <f>cal_II!D32</f>
        <v>976.38</v>
      </c>
      <c r="G25" s="43"/>
      <c r="H25" s="43"/>
      <c r="I25" s="43"/>
      <c r="J25" s="43"/>
      <c r="K25" s="43"/>
    </row>
    <row r="26" spans="1:11" s="13" customFormat="1" ht="12.75">
      <c r="A26" s="86">
        <f t="shared" si="1"/>
        <v>21</v>
      </c>
      <c r="B26" s="127" t="s">
        <v>61</v>
      </c>
      <c r="C26" s="5">
        <f>SUM(D26:F26)</f>
        <v>2761.4300000000003</v>
      </c>
      <c r="D26" s="35">
        <f>evaluare!D26</f>
        <v>1603.71</v>
      </c>
      <c r="E26" s="35">
        <f>cal_ISO!D34</f>
        <v>0</v>
      </c>
      <c r="F26" s="40">
        <f>cal_II!D33</f>
        <v>1157.72</v>
      </c>
      <c r="G26" s="43"/>
      <c r="H26" s="43"/>
      <c r="I26" s="43"/>
      <c r="J26" s="43"/>
      <c r="K26" s="43"/>
    </row>
    <row r="27" spans="1:11" s="14" customFormat="1" ht="12.75">
      <c r="A27" s="86">
        <f t="shared" si="1"/>
        <v>22</v>
      </c>
      <c r="B27" s="8" t="s">
        <v>18</v>
      </c>
      <c r="C27" s="5">
        <f>SUM(D27:F27)</f>
        <v>8503.1</v>
      </c>
      <c r="D27" s="35">
        <f>evaluare!D27</f>
        <v>5000.85</v>
      </c>
      <c r="E27" s="35">
        <f>cal_ISO!D35</f>
        <v>1708.49</v>
      </c>
      <c r="F27" s="40">
        <f>cal_II!D34</f>
        <v>1793.76</v>
      </c>
      <c r="G27" s="44"/>
      <c r="H27" s="44"/>
      <c r="I27" s="44"/>
      <c r="J27" s="44"/>
      <c r="K27" s="44"/>
    </row>
    <row r="28" spans="1:11" s="13" customFormat="1" ht="12.75">
      <c r="A28" s="86">
        <f t="shared" si="1"/>
        <v>23</v>
      </c>
      <c r="B28" s="8" t="s">
        <v>28</v>
      </c>
      <c r="C28" s="5">
        <f t="shared" si="0"/>
        <v>0</v>
      </c>
      <c r="D28" s="35">
        <f>evaluare!D28</f>
        <v>0</v>
      </c>
      <c r="E28" s="35">
        <f>cal_ISO!D36</f>
        <v>0</v>
      </c>
      <c r="F28" s="40">
        <f>cal_II!D35</f>
        <v>0</v>
      </c>
      <c r="G28" s="43"/>
      <c r="H28" s="43"/>
      <c r="I28" s="43"/>
      <c r="J28" s="43"/>
      <c r="K28" s="43"/>
    </row>
    <row r="29" spans="1:11" s="13" customFormat="1" ht="12.75">
      <c r="A29" s="86">
        <f t="shared" si="1"/>
        <v>24</v>
      </c>
      <c r="B29" s="9" t="s">
        <v>38</v>
      </c>
      <c r="C29" s="5">
        <f t="shared" si="0"/>
        <v>0</v>
      </c>
      <c r="D29" s="35">
        <f>evaluare!D29</f>
        <v>0</v>
      </c>
      <c r="E29" s="35">
        <f>cal_ISO!D37</f>
        <v>0</v>
      </c>
      <c r="F29" s="40">
        <f>cal_II!D36</f>
        <v>0</v>
      </c>
      <c r="G29" s="43"/>
      <c r="H29" s="43"/>
      <c r="I29" s="43"/>
      <c r="J29" s="43"/>
      <c r="K29" s="43"/>
    </row>
    <row r="30" spans="1:11" s="13" customFormat="1" ht="12.75">
      <c r="A30" s="86">
        <f t="shared" si="1"/>
        <v>25</v>
      </c>
      <c r="B30" s="9" t="s">
        <v>39</v>
      </c>
      <c r="C30" s="5">
        <f t="shared" si="0"/>
        <v>0</v>
      </c>
      <c r="D30" s="35">
        <f>evaluare!D30</f>
        <v>0</v>
      </c>
      <c r="E30" s="35">
        <f>cal_ISO!D38</f>
        <v>0</v>
      </c>
      <c r="F30" s="40">
        <f>cal_II!D37</f>
        <v>0</v>
      </c>
      <c r="G30" s="43"/>
      <c r="H30" s="43"/>
      <c r="I30" s="43"/>
      <c r="J30" s="43"/>
      <c r="K30" s="43"/>
    </row>
    <row r="31" spans="1:11" s="13" customFormat="1" ht="12.75">
      <c r="A31" s="86">
        <f t="shared" si="1"/>
        <v>26</v>
      </c>
      <c r="B31" s="8" t="s">
        <v>54</v>
      </c>
      <c r="C31" s="5">
        <f>SUM(D31:F31)</f>
        <v>0</v>
      </c>
      <c r="D31" s="35">
        <f>evaluare!D31</f>
        <v>0</v>
      </c>
      <c r="E31" s="35">
        <f>cal_ISO!D39</f>
        <v>0</v>
      </c>
      <c r="F31" s="40">
        <f>cal_II!D38</f>
        <v>0</v>
      </c>
      <c r="G31" s="43"/>
      <c r="H31" s="43"/>
      <c r="I31" s="43"/>
      <c r="J31" s="43"/>
      <c r="K31" s="43"/>
    </row>
    <row r="32" spans="1:11" s="13" customFormat="1" ht="24" customHeight="1">
      <c r="A32" s="86">
        <f t="shared" si="1"/>
        <v>27</v>
      </c>
      <c r="B32" s="9" t="s">
        <v>40</v>
      </c>
      <c r="C32" s="5">
        <f t="shared" si="0"/>
        <v>0</v>
      </c>
      <c r="D32" s="35">
        <f>evaluare!D32</f>
        <v>0</v>
      </c>
      <c r="E32" s="35">
        <f>cal_ISO!D40</f>
        <v>0</v>
      </c>
      <c r="F32" s="40">
        <f>cal_II!D39</f>
        <v>0</v>
      </c>
      <c r="G32" s="43"/>
      <c r="H32" s="43"/>
      <c r="I32" s="43"/>
      <c r="J32" s="43"/>
      <c r="K32" s="43"/>
    </row>
    <row r="33" spans="1:11" s="14" customFormat="1" ht="24" customHeight="1">
      <c r="A33" s="86">
        <f t="shared" si="1"/>
        <v>28</v>
      </c>
      <c r="B33" s="9" t="s">
        <v>41</v>
      </c>
      <c r="C33" s="5">
        <f t="shared" si="0"/>
        <v>0</v>
      </c>
      <c r="D33" s="35">
        <f>evaluare!D33</f>
        <v>0</v>
      </c>
      <c r="E33" s="35">
        <f>cal_ISO!D41</f>
        <v>0</v>
      </c>
      <c r="F33" s="40">
        <f>cal_II!D40</f>
        <v>0</v>
      </c>
      <c r="G33" s="44"/>
      <c r="H33" s="44"/>
      <c r="I33" s="44"/>
      <c r="J33" s="44"/>
      <c r="K33" s="44"/>
    </row>
    <row r="34" spans="1:11" s="14" customFormat="1" ht="12.75">
      <c r="A34" s="86">
        <f t="shared" si="1"/>
        <v>29</v>
      </c>
      <c r="B34" s="9" t="s">
        <v>42</v>
      </c>
      <c r="C34" s="5">
        <f t="shared" si="0"/>
        <v>3113.3999999999996</v>
      </c>
      <c r="D34" s="35">
        <f>evaluare!D34</f>
        <v>1772.3</v>
      </c>
      <c r="E34" s="35">
        <f>cal_ISO!D42</f>
        <v>808.69</v>
      </c>
      <c r="F34" s="40">
        <f>cal_II!D41</f>
        <v>532.41</v>
      </c>
      <c r="G34" s="44"/>
      <c r="H34" s="44"/>
      <c r="I34" s="44"/>
      <c r="J34" s="44"/>
      <c r="K34" s="44"/>
    </row>
    <row r="35" spans="1:11" s="144" customFormat="1" ht="22.5">
      <c r="A35" s="128"/>
      <c r="B35" s="129" t="s">
        <v>64</v>
      </c>
      <c r="C35" s="141">
        <f t="shared" si="0"/>
        <v>0</v>
      </c>
      <c r="D35" s="142">
        <f>evaluare!D35</f>
        <v>0</v>
      </c>
      <c r="E35" s="142">
        <f>cal_ISO!D43</f>
        <v>0</v>
      </c>
      <c r="F35" s="138">
        <f>cal_II!D42</f>
        <v>0</v>
      </c>
      <c r="G35" s="143"/>
      <c r="H35" s="143"/>
      <c r="I35" s="143"/>
      <c r="J35" s="143"/>
      <c r="K35" s="143"/>
    </row>
    <row r="36" spans="1:11" s="14" customFormat="1" ht="12.75">
      <c r="A36" s="86">
        <v>30</v>
      </c>
      <c r="B36" s="9" t="s">
        <v>43</v>
      </c>
      <c r="C36" s="5">
        <f t="shared" si="0"/>
        <v>0</v>
      </c>
      <c r="D36" s="35">
        <f>evaluare!D36</f>
        <v>0</v>
      </c>
      <c r="E36" s="35">
        <f>cal_ISO!D44</f>
        <v>0</v>
      </c>
      <c r="F36" s="40">
        <f>cal_II!D43</f>
        <v>0</v>
      </c>
      <c r="G36" s="44"/>
      <c r="H36" s="44"/>
      <c r="I36" s="44"/>
      <c r="J36" s="44"/>
      <c r="K36" s="44"/>
    </row>
    <row r="37" spans="1:11" s="14" customFormat="1" ht="12.75">
      <c r="A37" s="86">
        <f t="shared" si="1"/>
        <v>31</v>
      </c>
      <c r="B37" s="8" t="s">
        <v>44</v>
      </c>
      <c r="C37" s="5">
        <f t="shared" si="0"/>
        <v>8143.3099999999995</v>
      </c>
      <c r="D37" s="35">
        <f>evaluare!D37</f>
        <v>4122.5</v>
      </c>
      <c r="E37" s="35">
        <f>cal_ISO!D45</f>
        <v>1776.83</v>
      </c>
      <c r="F37" s="40">
        <f>cal_II!D44</f>
        <v>2243.98</v>
      </c>
      <c r="G37" s="44"/>
      <c r="H37" s="44"/>
      <c r="I37" s="44"/>
      <c r="J37" s="44"/>
      <c r="K37" s="44"/>
    </row>
    <row r="38" spans="1:11" s="13" customFormat="1" ht="13.5" thickBot="1">
      <c r="A38" s="86">
        <f t="shared" si="1"/>
        <v>32</v>
      </c>
      <c r="B38" s="8" t="s">
        <v>17</v>
      </c>
      <c r="C38" s="5">
        <f t="shared" si="0"/>
        <v>6190.05</v>
      </c>
      <c r="D38" s="35">
        <f>evaluare!D38</f>
        <v>2370.9</v>
      </c>
      <c r="E38" s="35">
        <f>cal_ISO!D46</f>
        <v>1719.88</v>
      </c>
      <c r="F38" s="40">
        <f>cal_II!D45</f>
        <v>2099.27</v>
      </c>
      <c r="G38" s="43"/>
      <c r="H38" s="43"/>
      <c r="I38" s="43"/>
      <c r="J38" s="43"/>
      <c r="K38" s="43"/>
    </row>
    <row r="39" spans="1:11" s="1" customFormat="1" ht="15" customHeight="1" thickBot="1">
      <c r="A39" s="114"/>
      <c r="B39" s="22" t="s">
        <v>3</v>
      </c>
      <c r="C39" s="23">
        <f>SUM(C6:C38)</f>
        <v>135585.84</v>
      </c>
      <c r="D39" s="23">
        <f>SUM(D6:D38)</f>
        <v>67792.92</v>
      </c>
      <c r="E39" s="23">
        <f>SUM(E6:E38)</f>
        <v>33896.46</v>
      </c>
      <c r="F39" s="42">
        <f>SUM(F6:F38)</f>
        <v>33896.46</v>
      </c>
      <c r="G39" s="4"/>
      <c r="H39" s="4"/>
      <c r="I39" s="4"/>
      <c r="J39" s="4"/>
      <c r="K39" s="4"/>
    </row>
    <row r="40" spans="3:11" s="13" customFormat="1" ht="12.75" hidden="1">
      <c r="C40" s="4" t="e">
        <f>#REF!/0.76</f>
        <v>#REF!</v>
      </c>
      <c r="D40" s="43" t="e">
        <f>#REF!/$C40</f>
        <v>#REF!</v>
      </c>
      <c r="E40" s="43" t="e">
        <f>#REF!/$C40</f>
        <v>#REF!</v>
      </c>
      <c r="F40" s="43" t="e">
        <f>#REF!/$C40</f>
        <v>#REF!</v>
      </c>
      <c r="G40" s="43"/>
      <c r="H40" s="43"/>
      <c r="I40" s="43"/>
      <c r="J40" s="43"/>
      <c r="K40" s="43"/>
    </row>
    <row r="41" spans="3:11" s="13" customFormat="1" ht="12.75">
      <c r="C41" s="4"/>
      <c r="D41" s="43"/>
      <c r="E41" s="43"/>
      <c r="F41" s="43"/>
      <c r="G41" s="43"/>
      <c r="H41" s="43"/>
      <c r="I41" s="43"/>
      <c r="J41" s="43"/>
      <c r="K41" s="43"/>
    </row>
    <row r="42" spans="2:11" s="1" customFormat="1" ht="12.75">
      <c r="B42" s="1" t="s">
        <v>9</v>
      </c>
      <c r="C42" s="4"/>
      <c r="D42" s="4">
        <f>evaluare!C43</f>
        <v>3.3</v>
      </c>
      <c r="E42" s="4">
        <f>cal_ISO!C50</f>
        <v>11.39</v>
      </c>
      <c r="F42" s="4">
        <f>cal_II!C49</f>
        <v>1.79</v>
      </c>
      <c r="G42" s="4"/>
      <c r="H42" s="4"/>
      <c r="I42" s="4"/>
      <c r="J42" s="4"/>
      <c r="K42" s="4"/>
    </row>
    <row r="43" spans="3:11" s="13" customFormat="1" ht="12.75">
      <c r="C43" s="4"/>
      <c r="D43" s="43"/>
      <c r="E43" s="43"/>
      <c r="F43" s="43"/>
      <c r="G43" s="43"/>
      <c r="H43" s="43"/>
      <c r="I43" s="43"/>
      <c r="J43" s="43"/>
      <c r="K43" s="43"/>
    </row>
    <row r="44" spans="7:11" ht="13.5">
      <c r="G44" s="115"/>
      <c r="H44" s="115"/>
      <c r="I44" s="115"/>
      <c r="J44" s="115"/>
      <c r="K44" s="115"/>
    </row>
    <row r="45" spans="7:11" ht="13.5">
      <c r="G45" s="115"/>
      <c r="H45" s="115"/>
      <c r="I45" s="115"/>
      <c r="J45" s="115"/>
      <c r="K45" s="115"/>
    </row>
    <row r="46" spans="7:11" ht="13.5">
      <c r="G46" s="115"/>
      <c r="H46" s="115"/>
      <c r="I46" s="115"/>
      <c r="J46" s="115"/>
      <c r="K46" s="115"/>
    </row>
    <row r="47" spans="7:11" ht="13.5">
      <c r="G47" s="115"/>
      <c r="H47" s="115"/>
      <c r="I47" s="115"/>
      <c r="J47" s="115"/>
      <c r="K47" s="115"/>
    </row>
    <row r="48" spans="7:11" ht="13.5">
      <c r="G48" s="115"/>
      <c r="H48" s="115"/>
      <c r="I48" s="115"/>
      <c r="J48" s="115"/>
      <c r="K48" s="115"/>
    </row>
    <row r="49" spans="7:11" ht="13.5">
      <c r="G49" s="115"/>
      <c r="H49" s="115"/>
      <c r="I49" s="115"/>
      <c r="J49" s="115"/>
      <c r="K49" s="115"/>
    </row>
    <row r="50" spans="7:11" ht="13.5">
      <c r="G50" s="115"/>
      <c r="H50" s="115"/>
      <c r="I50" s="115"/>
      <c r="J50" s="115"/>
      <c r="K50" s="115"/>
    </row>
    <row r="51" spans="7:11" ht="13.5">
      <c r="G51" s="115"/>
      <c r="H51" s="115"/>
      <c r="I51" s="115"/>
      <c r="J51" s="115"/>
      <c r="K51" s="115"/>
    </row>
    <row r="52" spans="7:11" ht="13.5">
      <c r="G52" s="115"/>
      <c r="H52" s="115"/>
      <c r="I52" s="115"/>
      <c r="J52" s="115"/>
      <c r="K52" s="115"/>
    </row>
    <row r="53" spans="7:11" ht="13.5">
      <c r="G53" s="115"/>
      <c r="H53" s="115"/>
      <c r="I53" s="115"/>
      <c r="J53" s="115"/>
      <c r="K53" s="115"/>
    </row>
    <row r="54" spans="7:11" ht="13.5">
      <c r="G54" s="115"/>
      <c r="H54" s="115"/>
      <c r="I54" s="115"/>
      <c r="J54" s="115"/>
      <c r="K54" s="115"/>
    </row>
    <row r="55" spans="7:11" ht="13.5">
      <c r="G55" s="115"/>
      <c r="H55" s="115"/>
      <c r="I55" s="115"/>
      <c r="J55" s="115"/>
      <c r="K55" s="115"/>
    </row>
    <row r="56" spans="7:11" ht="13.5">
      <c r="G56" s="115"/>
      <c r="H56" s="115"/>
      <c r="I56" s="115"/>
      <c r="J56" s="115"/>
      <c r="K56" s="115"/>
    </row>
    <row r="57" spans="7:11" ht="13.5">
      <c r="G57" s="115"/>
      <c r="H57" s="115"/>
      <c r="I57" s="115"/>
      <c r="J57" s="115"/>
      <c r="K57" s="115"/>
    </row>
    <row r="58" spans="7:11" ht="13.5">
      <c r="G58" s="115"/>
      <c r="H58" s="115"/>
      <c r="I58" s="115"/>
      <c r="J58" s="115"/>
      <c r="K58" s="115"/>
    </row>
    <row r="59" spans="7:11" ht="13.5">
      <c r="G59" s="115"/>
      <c r="H59" s="115"/>
      <c r="I59" s="115"/>
      <c r="J59" s="115"/>
      <c r="K59" s="115"/>
    </row>
  </sheetData>
  <sheetProtection/>
  <mergeCells count="2">
    <mergeCell ref="A3:B3"/>
    <mergeCell ref="A1:F1"/>
  </mergeCells>
  <printOptions horizontalCentered="1"/>
  <pageMargins left="0" right="0" top="0" bottom="0" header="0.01" footer="0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zoomScalePageLayoutView="0" workbookViewId="0" topLeftCell="A1">
      <selection activeCell="A1" sqref="A1:IV9"/>
    </sheetView>
  </sheetViews>
  <sheetFormatPr defaultColWidth="9.140625" defaultRowHeight="12.75"/>
  <cols>
    <col min="1" max="1" width="3.7109375" style="13" customWidth="1"/>
    <col min="2" max="2" width="37.7109375" style="94" customWidth="1"/>
    <col min="3" max="3" width="19.140625" style="95" customWidth="1"/>
    <col min="4" max="4" width="19.140625" style="43" customWidth="1"/>
    <col min="5" max="16384" width="9.140625" style="13" customWidth="1"/>
  </cols>
  <sheetData>
    <row r="1" spans="1:4" s="72" customFormat="1" ht="14.25" customHeight="1">
      <c r="A1" s="155" t="s">
        <v>22</v>
      </c>
      <c r="B1" s="155"/>
      <c r="C1" s="155"/>
      <c r="D1" s="155"/>
    </row>
    <row r="2" spans="2:3" s="21" customFormat="1" ht="15">
      <c r="B2" s="79"/>
      <c r="C2" s="80"/>
    </row>
    <row r="3" spans="1:3" s="21" customFormat="1" ht="18.75" customHeight="1" thickBot="1">
      <c r="A3" s="150">
        <f>TOTAL!A3</f>
        <v>44451</v>
      </c>
      <c r="B3" s="151"/>
      <c r="C3" s="80"/>
    </row>
    <row r="4" spans="1:4" s="37" customFormat="1" ht="21" thickBot="1">
      <c r="A4" s="106" t="s">
        <v>60</v>
      </c>
      <c r="B4" s="82" t="s">
        <v>1</v>
      </c>
      <c r="C4" s="32" t="s">
        <v>58</v>
      </c>
      <c r="D4" s="83" t="s">
        <v>2</v>
      </c>
    </row>
    <row r="5" spans="1:4" s="18" customFormat="1" ht="21" thickBot="1">
      <c r="A5" s="25">
        <v>0</v>
      </c>
      <c r="B5" s="26">
        <v>1</v>
      </c>
      <c r="C5" s="27">
        <v>2</v>
      </c>
      <c r="D5" s="31" t="s">
        <v>8</v>
      </c>
    </row>
    <row r="6" spans="1:14" s="85" customFormat="1" ht="50.25" customHeight="1">
      <c r="A6" s="84">
        <v>1</v>
      </c>
      <c r="B6" s="51" t="s">
        <v>10</v>
      </c>
      <c r="C6" s="145">
        <f>773.72+7-15+2.5</f>
        <v>768.22</v>
      </c>
      <c r="D6" s="49">
        <f aca="true" t="shared" si="0" ref="D6:D38">ROUND(C6/C$39*C$40,2)</f>
        <v>2536.03</v>
      </c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s="85" customFormat="1" ht="24.75" customHeight="1">
      <c r="A7" s="86">
        <f>A6+1</f>
        <v>2</v>
      </c>
      <c r="B7" s="52" t="s">
        <v>52</v>
      </c>
      <c r="C7" s="35">
        <v>1134</v>
      </c>
      <c r="D7" s="116">
        <f>ROUND(C7/C$39*C$40,2)-0.02</f>
        <v>3743.51</v>
      </c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85" customFormat="1" ht="24.75" customHeight="1">
      <c r="A8" s="86">
        <f aca="true" t="shared" si="1" ref="A8:A38">A7+1</f>
        <v>3</v>
      </c>
      <c r="B8" s="52" t="s">
        <v>33</v>
      </c>
      <c r="C8" s="35">
        <v>701.03</v>
      </c>
      <c r="D8" s="117">
        <f t="shared" si="0"/>
        <v>2314.22</v>
      </c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85" customFormat="1" ht="24.75" customHeight="1">
      <c r="A9" s="86">
        <f t="shared" si="1"/>
        <v>4</v>
      </c>
      <c r="B9" s="52" t="s">
        <v>12</v>
      </c>
      <c r="C9" s="35">
        <v>672.6</v>
      </c>
      <c r="D9" s="117">
        <f t="shared" si="0"/>
        <v>2220.37</v>
      </c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s="85" customFormat="1" ht="24.75" customHeight="1">
      <c r="A10" s="86">
        <f t="shared" si="1"/>
        <v>5</v>
      </c>
      <c r="B10" s="87" t="s">
        <v>56</v>
      </c>
      <c r="C10" s="146">
        <f>616.6-616.6</f>
        <v>0</v>
      </c>
      <c r="D10" s="117">
        <f t="shared" si="0"/>
        <v>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s="14" customFormat="1" ht="39" customHeight="1">
      <c r="A11" s="86">
        <f t="shared" si="1"/>
        <v>6</v>
      </c>
      <c r="B11" s="54" t="s">
        <v>48</v>
      </c>
      <c r="C11" s="35">
        <f>1724.2+80-40</f>
        <v>1764.2</v>
      </c>
      <c r="D11" s="117">
        <f>ROUND(C11/C$39*C$40,2)</f>
        <v>5823.93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s="85" customFormat="1" ht="24.75" customHeight="1">
      <c r="A12" s="86">
        <f t="shared" si="1"/>
        <v>7</v>
      </c>
      <c r="B12" s="52" t="s">
        <v>34</v>
      </c>
      <c r="C12" s="35">
        <v>3382.14</v>
      </c>
      <c r="D12" s="117">
        <f>ROUND(C12/C$39*C$40,2)</f>
        <v>11165.02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s="14" customFormat="1" ht="24.75" customHeight="1">
      <c r="A13" s="86">
        <f t="shared" si="1"/>
        <v>8</v>
      </c>
      <c r="B13" s="52" t="s">
        <v>47</v>
      </c>
      <c r="C13" s="35">
        <v>441.2</v>
      </c>
      <c r="D13" s="117">
        <f t="shared" si="0"/>
        <v>1456.48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s="85" customFormat="1" ht="24.75" customHeight="1">
      <c r="A14" s="86">
        <f t="shared" si="1"/>
        <v>9</v>
      </c>
      <c r="B14" s="52" t="s">
        <v>35</v>
      </c>
      <c r="C14" s="35">
        <v>285</v>
      </c>
      <c r="D14" s="117">
        <f t="shared" si="0"/>
        <v>940.83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s="85" customFormat="1" ht="24.75" customHeight="1">
      <c r="A15" s="86">
        <f t="shared" si="1"/>
        <v>10</v>
      </c>
      <c r="B15" s="52" t="s">
        <v>36</v>
      </c>
      <c r="C15" s="35">
        <v>461.1</v>
      </c>
      <c r="D15" s="117">
        <f t="shared" si="0"/>
        <v>1522.17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s="85" customFormat="1" ht="24.75" customHeight="1">
      <c r="A16" s="86">
        <f t="shared" si="1"/>
        <v>11</v>
      </c>
      <c r="B16" s="52" t="s">
        <v>21</v>
      </c>
      <c r="C16" s="35">
        <v>662.5</v>
      </c>
      <c r="D16" s="117">
        <f t="shared" si="0"/>
        <v>2187.03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s="85" customFormat="1" ht="24.75" customHeight="1">
      <c r="A17" s="86">
        <f t="shared" si="1"/>
        <v>12</v>
      </c>
      <c r="B17" s="52" t="s">
        <v>13</v>
      </c>
      <c r="C17" s="35">
        <v>664.36</v>
      </c>
      <c r="D17" s="117">
        <f t="shared" si="0"/>
        <v>2193.17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85" customFormat="1" ht="24.75" customHeight="1">
      <c r="A18" s="86">
        <f t="shared" si="1"/>
        <v>13</v>
      </c>
      <c r="B18" s="52" t="s">
        <v>14</v>
      </c>
      <c r="C18" s="35">
        <f>634.16</f>
        <v>634.16</v>
      </c>
      <c r="D18" s="117">
        <f t="shared" si="0"/>
        <v>2093.47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s="14" customFormat="1" ht="24.75" customHeight="1">
      <c r="A19" s="86">
        <f t="shared" si="1"/>
        <v>14</v>
      </c>
      <c r="B19" s="52" t="s">
        <v>45</v>
      </c>
      <c r="C19" s="35">
        <v>377.48</v>
      </c>
      <c r="D19" s="117">
        <f t="shared" si="0"/>
        <v>1246.13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s="85" customFormat="1" ht="24.75" customHeight="1">
      <c r="A20" s="86">
        <f t="shared" si="1"/>
        <v>15</v>
      </c>
      <c r="B20" s="52" t="s">
        <v>37</v>
      </c>
      <c r="C20" s="35">
        <v>468</v>
      </c>
      <c r="D20" s="117">
        <f t="shared" si="0"/>
        <v>1544.95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s="24" customFormat="1" ht="24.75" customHeight="1">
      <c r="A21" s="86">
        <f t="shared" si="1"/>
        <v>16</v>
      </c>
      <c r="B21" s="52" t="s">
        <v>15</v>
      </c>
      <c r="C21" s="146">
        <f>413-413</f>
        <v>0</v>
      </c>
      <c r="D21" s="117">
        <f t="shared" si="0"/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s="85" customFormat="1" ht="24.75" customHeight="1">
      <c r="A22" s="86">
        <f t="shared" si="1"/>
        <v>17</v>
      </c>
      <c r="B22" s="52" t="s">
        <v>53</v>
      </c>
      <c r="C22" s="35">
        <v>607.39</v>
      </c>
      <c r="D22" s="117">
        <f t="shared" si="0"/>
        <v>2005.1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s="14" customFormat="1" ht="24.75" customHeight="1">
      <c r="A23" s="86">
        <f t="shared" si="1"/>
        <v>18</v>
      </c>
      <c r="B23" s="53" t="s">
        <v>11</v>
      </c>
      <c r="C23" s="35">
        <f>1169.94+15</f>
        <v>1184.94</v>
      </c>
      <c r="D23" s="117">
        <f t="shared" si="0"/>
        <v>3911.69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s="14" customFormat="1" ht="24.75" customHeight="1">
      <c r="A24" s="86">
        <f t="shared" si="1"/>
        <v>19</v>
      </c>
      <c r="B24" s="52" t="s">
        <v>16</v>
      </c>
      <c r="C24" s="35">
        <v>1150.51</v>
      </c>
      <c r="D24" s="117">
        <f t="shared" si="0"/>
        <v>3798.03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s="14" customFormat="1" ht="24.75" customHeight="1">
      <c r="A25" s="86">
        <f t="shared" si="1"/>
        <v>20</v>
      </c>
      <c r="B25" s="52" t="s">
        <v>46</v>
      </c>
      <c r="C25" s="35">
        <v>672.65</v>
      </c>
      <c r="D25" s="117">
        <f t="shared" si="0"/>
        <v>2220.53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24.75" customHeight="1">
      <c r="A26" s="86">
        <f t="shared" si="1"/>
        <v>21</v>
      </c>
      <c r="B26" s="53" t="s">
        <v>61</v>
      </c>
      <c r="C26" s="50">
        <v>485.8</v>
      </c>
      <c r="D26" s="117">
        <f>ROUND(C26/C$39*C$40,2)</f>
        <v>1603.71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s="14" customFormat="1" ht="24.75" customHeight="1">
      <c r="A27" s="86">
        <f t="shared" si="1"/>
        <v>22</v>
      </c>
      <c r="B27" s="52" t="s">
        <v>18</v>
      </c>
      <c r="C27" s="35">
        <v>1514.87</v>
      </c>
      <c r="D27" s="117">
        <f t="shared" si="0"/>
        <v>5000.85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s="14" customFormat="1" ht="24.75" customHeight="1">
      <c r="A28" s="86">
        <f t="shared" si="1"/>
        <v>23</v>
      </c>
      <c r="B28" s="52" t="s">
        <v>28</v>
      </c>
      <c r="C28" s="146">
        <f>720.6-720.6</f>
        <v>0</v>
      </c>
      <c r="D28" s="117">
        <f t="shared" si="0"/>
        <v>0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 s="14" customFormat="1" ht="24.75" customHeight="1">
      <c r="A29" s="86">
        <f t="shared" si="1"/>
        <v>24</v>
      </c>
      <c r="B29" s="52" t="s">
        <v>38</v>
      </c>
      <c r="C29" s="146">
        <f>680.32-680.32</f>
        <v>0</v>
      </c>
      <c r="D29" s="117">
        <f t="shared" si="0"/>
        <v>0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s="14" customFormat="1" ht="24.75" customHeight="1">
      <c r="A30" s="86">
        <f t="shared" si="1"/>
        <v>25</v>
      </c>
      <c r="B30" s="52" t="s">
        <v>39</v>
      </c>
      <c r="C30" s="146">
        <f>695.2-695.2</f>
        <v>0</v>
      </c>
      <c r="D30" s="117">
        <f t="shared" si="0"/>
        <v>0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s="1" customFormat="1" ht="24.75" customHeight="1">
      <c r="A31" s="86">
        <f t="shared" si="1"/>
        <v>26</v>
      </c>
      <c r="B31" s="53" t="s">
        <v>54</v>
      </c>
      <c r="C31" s="146">
        <f>439.97-439.97</f>
        <v>0</v>
      </c>
      <c r="D31" s="117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s="14" customFormat="1" ht="24.75" customHeight="1">
      <c r="A32" s="86">
        <f t="shared" si="1"/>
        <v>27</v>
      </c>
      <c r="B32" s="52" t="s">
        <v>40</v>
      </c>
      <c r="C32" s="146">
        <f>828.83+10-838.83</f>
        <v>0</v>
      </c>
      <c r="D32" s="117">
        <f>ROUND(C32/C$39*C$40,2)</f>
        <v>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14" s="14" customFormat="1" ht="24.75" customHeight="1">
      <c r="A33" s="86">
        <f t="shared" si="1"/>
        <v>28</v>
      </c>
      <c r="B33" s="52" t="s">
        <v>41</v>
      </c>
      <c r="C33" s="146">
        <f>2179.1-30-2149.1</f>
        <v>0</v>
      </c>
      <c r="D33" s="117">
        <f t="shared" si="0"/>
        <v>0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 s="14" customFormat="1" ht="24.75" customHeight="1">
      <c r="A34" s="86">
        <f t="shared" si="1"/>
        <v>29</v>
      </c>
      <c r="B34" s="52" t="s">
        <v>42</v>
      </c>
      <c r="C34" s="35">
        <v>536.87</v>
      </c>
      <c r="D34" s="117">
        <f t="shared" si="0"/>
        <v>1772.3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 s="133" customFormat="1" ht="41.25" customHeight="1">
      <c r="A35" s="128"/>
      <c r="B35" s="129" t="s">
        <v>64</v>
      </c>
      <c r="C35" s="141">
        <f>793.94-793.94</f>
        <v>0</v>
      </c>
      <c r="D35" s="130">
        <f t="shared" si="0"/>
        <v>0</v>
      </c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s="14" customFormat="1" ht="24.75" customHeight="1">
      <c r="A36" s="86">
        <v>30</v>
      </c>
      <c r="B36" s="52" t="s">
        <v>43</v>
      </c>
      <c r="C36" s="147">
        <f>603.9-603.9</f>
        <v>0</v>
      </c>
      <c r="D36" s="117">
        <f t="shared" si="0"/>
        <v>0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ht="24.75" customHeight="1">
      <c r="A37" s="86">
        <f t="shared" si="1"/>
        <v>31</v>
      </c>
      <c r="B37" s="53" t="s">
        <v>44</v>
      </c>
      <c r="C37" s="50">
        <v>1248.8</v>
      </c>
      <c r="D37" s="117">
        <f t="shared" si="0"/>
        <v>4122.5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1:14" ht="24.75" customHeight="1">
      <c r="A38" s="86">
        <f t="shared" si="1"/>
        <v>32</v>
      </c>
      <c r="B38" s="53" t="s">
        <v>17</v>
      </c>
      <c r="C38" s="50">
        <v>718.2</v>
      </c>
      <c r="D38" s="117">
        <f t="shared" si="0"/>
        <v>2370.9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8" customHeight="1">
      <c r="A39" s="15"/>
      <c r="B39" s="88" t="s">
        <v>3</v>
      </c>
      <c r="C39" s="5">
        <f>SUM(C6:C38)</f>
        <v>20536.02</v>
      </c>
      <c r="D39" s="118">
        <f>SUM(D6:D38)</f>
        <v>67792.92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ht="12.75">
      <c r="A40" s="15"/>
      <c r="B40" s="89" t="s">
        <v>19</v>
      </c>
      <c r="C40" s="5">
        <f>C41*0.5</f>
        <v>67792.92</v>
      </c>
      <c r="D40" s="39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4" ht="13.5" thickBot="1">
      <c r="A41" s="16"/>
      <c r="B41" s="90" t="s">
        <v>5</v>
      </c>
      <c r="C41" s="123">
        <v>135585.84</v>
      </c>
      <c r="D41" s="91"/>
    </row>
    <row r="42" spans="2:4" ht="12.75">
      <c r="B42" s="12"/>
      <c r="C42" s="3"/>
      <c r="D42" s="17"/>
    </row>
    <row r="43" spans="2:4" ht="12.75">
      <c r="B43" s="12" t="s">
        <v>4</v>
      </c>
      <c r="C43" s="3">
        <f>ROUND(C40/C39,2)</f>
        <v>3.3</v>
      </c>
      <c r="D43" s="17"/>
    </row>
    <row r="44" spans="2:4" ht="12.75">
      <c r="B44" s="12"/>
      <c r="C44" s="3"/>
      <c r="D44" s="17"/>
    </row>
    <row r="45" spans="2:4" ht="12.75">
      <c r="B45" s="92"/>
      <c r="C45" s="93"/>
      <c r="D45" s="17"/>
    </row>
    <row r="46" spans="2:4" ht="12.75">
      <c r="B46" s="92"/>
      <c r="C46" s="93"/>
      <c r="D46" s="17"/>
    </row>
    <row r="47" spans="2:4" ht="12.75">
      <c r="B47" s="92"/>
      <c r="C47" s="93"/>
      <c r="D47" s="17"/>
    </row>
  </sheetData>
  <sheetProtection/>
  <mergeCells count="2">
    <mergeCell ref="A3:B3"/>
    <mergeCell ref="A1:D1"/>
  </mergeCells>
  <printOptions horizontalCentered="1" verticalCentered="1"/>
  <pageMargins left="0.196850393700787" right="0.196850393700787" top="0.24" bottom="0" header="0.17" footer="0"/>
  <pageSetup fitToHeight="1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zoomScalePageLayoutView="0" workbookViewId="0" topLeftCell="A49">
      <selection activeCell="A52" sqref="A52:IV54"/>
    </sheetView>
  </sheetViews>
  <sheetFormatPr defaultColWidth="9.140625" defaultRowHeight="12.75" outlineLevelRow="1"/>
  <cols>
    <col min="1" max="1" width="3.57421875" style="13" customWidth="1"/>
    <col min="2" max="2" width="34.421875" style="13" customWidth="1"/>
    <col min="3" max="3" width="17.421875" style="1" customWidth="1"/>
    <col min="4" max="4" width="18.28125" style="13" customWidth="1"/>
    <col min="5" max="5" width="28.140625" style="13" hidden="1" customWidth="1"/>
    <col min="6" max="16384" width="9.140625" style="13" customWidth="1"/>
  </cols>
  <sheetData>
    <row r="1" spans="3:5" s="72" customFormat="1" ht="13.5" hidden="1" outlineLevel="1">
      <c r="C1" s="73" t="s">
        <v>6</v>
      </c>
      <c r="D1" s="73"/>
      <c r="E1" s="73"/>
    </row>
    <row r="2" spans="3:5" s="72" customFormat="1" ht="13.5" hidden="1" outlineLevel="1">
      <c r="C2" s="73" t="s">
        <v>55</v>
      </c>
      <c r="D2" s="73"/>
      <c r="E2" s="73"/>
    </row>
    <row r="3" spans="3:5" s="72" customFormat="1" ht="13.5" hidden="1" outlineLevel="1">
      <c r="C3" s="73" t="s">
        <v>49</v>
      </c>
      <c r="D3" s="74"/>
      <c r="E3" s="74"/>
    </row>
    <row r="4" spans="3:5" s="72" customFormat="1" ht="13.5" hidden="1" outlineLevel="1">
      <c r="C4" s="73"/>
      <c r="D4" s="74"/>
      <c r="E4" s="74"/>
    </row>
    <row r="5" spans="3:5" s="72" customFormat="1" ht="13.5" hidden="1" outlineLevel="1">
      <c r="C5" s="73" t="s">
        <v>7</v>
      </c>
      <c r="D5" s="73"/>
      <c r="E5" s="73"/>
    </row>
    <row r="6" spans="3:5" s="72" customFormat="1" ht="18.75" customHeight="1" hidden="1" outlineLevel="1">
      <c r="C6" s="154" t="s">
        <v>62</v>
      </c>
      <c r="D6" s="154"/>
      <c r="E6" s="75"/>
    </row>
    <row r="7" spans="3:5" s="72" customFormat="1" ht="13.5" hidden="1" outlineLevel="1">
      <c r="C7" s="76" t="s">
        <v>57</v>
      </c>
      <c r="D7" s="77"/>
      <c r="E7" s="77"/>
    </row>
    <row r="8" spans="3:5" s="72" customFormat="1" ht="13.5" hidden="1" outlineLevel="1">
      <c r="C8" s="76"/>
      <c r="D8" s="77"/>
      <c r="E8" s="77"/>
    </row>
    <row r="9" spans="1:5" s="72" customFormat="1" ht="13.5" collapsed="1">
      <c r="A9" s="159" t="s">
        <v>23</v>
      </c>
      <c r="B9" s="159"/>
      <c r="C9" s="159"/>
      <c r="D9" s="159"/>
      <c r="E9" s="159"/>
    </row>
    <row r="11" spans="2:5" s="21" customFormat="1" ht="15.75" thickBot="1">
      <c r="B11" s="150">
        <f>TOTAL!A3</f>
        <v>44451</v>
      </c>
      <c r="C11" s="151"/>
      <c r="E11" s="81"/>
    </row>
    <row r="12" spans="1:5" s="1" customFormat="1" ht="21" thickBot="1">
      <c r="A12" s="106" t="s">
        <v>60</v>
      </c>
      <c r="B12" s="82" t="s">
        <v>1</v>
      </c>
      <c r="C12" s="57" t="s">
        <v>58</v>
      </c>
      <c r="D12" s="64" t="s">
        <v>29</v>
      </c>
      <c r="E12" s="157" t="s">
        <v>50</v>
      </c>
    </row>
    <row r="13" spans="1:5" s="2" customFormat="1" ht="27" thickBot="1">
      <c r="A13" s="120">
        <v>0</v>
      </c>
      <c r="B13" s="28">
        <v>1</v>
      </c>
      <c r="C13" s="58">
        <v>2</v>
      </c>
      <c r="D13" s="65" t="s">
        <v>30</v>
      </c>
      <c r="E13" s="158"/>
    </row>
    <row r="14" spans="1:5" ht="12.75">
      <c r="A14" s="33">
        <v>1</v>
      </c>
      <c r="B14" s="51" t="s">
        <v>10</v>
      </c>
      <c r="C14" s="38">
        <v>143</v>
      </c>
      <c r="D14" s="66">
        <f>ROUND(C14/C$47*C$48,2)</f>
        <v>1628.76</v>
      </c>
      <c r="E14" s="59"/>
    </row>
    <row r="15" spans="1:5" ht="29.25" customHeight="1">
      <c r="A15" s="34">
        <f>A14+1</f>
        <v>2</v>
      </c>
      <c r="B15" s="52" t="s">
        <v>52</v>
      </c>
      <c r="C15" s="40">
        <v>322</v>
      </c>
      <c r="D15" s="67">
        <f aca="true" t="shared" si="0" ref="D15:D46">ROUND(C15/C$47*C$48,2)</f>
        <v>3667.56</v>
      </c>
      <c r="E15" s="60"/>
    </row>
    <row r="16" spans="1:5" ht="12.75">
      <c r="A16" s="34">
        <f>A15+1</f>
        <v>3</v>
      </c>
      <c r="B16" s="52" t="s">
        <v>33</v>
      </c>
      <c r="C16" s="40">
        <v>60</v>
      </c>
      <c r="D16" s="67">
        <f t="shared" si="0"/>
        <v>683.4</v>
      </c>
      <c r="E16" s="60"/>
    </row>
    <row r="17" spans="1:5" ht="12.75">
      <c r="A17" s="34">
        <f>A16+1</f>
        <v>4</v>
      </c>
      <c r="B17" s="52" t="s">
        <v>12</v>
      </c>
      <c r="C17" s="40">
        <v>122</v>
      </c>
      <c r="D17" s="67">
        <f t="shared" si="0"/>
        <v>1389.57</v>
      </c>
      <c r="E17" s="60"/>
    </row>
    <row r="18" spans="1:5" ht="12.75">
      <c r="A18" s="34">
        <f aca="true" t="shared" si="1" ref="A18:A46">A17+1</f>
        <v>5</v>
      </c>
      <c r="B18" s="87" t="s">
        <v>56</v>
      </c>
      <c r="C18" s="148">
        <f>101-101</f>
        <v>0</v>
      </c>
      <c r="D18" s="67">
        <f t="shared" si="0"/>
        <v>0</v>
      </c>
      <c r="E18" s="60"/>
    </row>
    <row r="19" spans="1:5" ht="25.5" customHeight="1">
      <c r="A19" s="34">
        <f t="shared" si="1"/>
        <v>6</v>
      </c>
      <c r="B19" s="54" t="s">
        <v>48</v>
      </c>
      <c r="C19" s="40">
        <v>126</v>
      </c>
      <c r="D19" s="67">
        <f t="shared" si="0"/>
        <v>1435.13</v>
      </c>
      <c r="E19" s="60"/>
    </row>
    <row r="20" spans="1:5" ht="12.75">
      <c r="A20" s="34">
        <f t="shared" si="1"/>
        <v>7</v>
      </c>
      <c r="B20" s="52" t="s">
        <v>34</v>
      </c>
      <c r="C20" s="40">
        <v>161</v>
      </c>
      <c r="D20" s="67">
        <f>ROUND(C20/C$47*C$48,2)</f>
        <v>1833.78</v>
      </c>
      <c r="E20" s="60"/>
    </row>
    <row r="21" spans="1:5" ht="22.5">
      <c r="A21" s="34">
        <f t="shared" si="1"/>
        <v>8</v>
      </c>
      <c r="B21" s="52" t="s">
        <v>47</v>
      </c>
      <c r="C21" s="40">
        <v>71</v>
      </c>
      <c r="D21" s="67">
        <f t="shared" si="0"/>
        <v>808.69</v>
      </c>
      <c r="E21" s="60"/>
    </row>
    <row r="22" spans="1:5" ht="12.75">
      <c r="A22" s="34">
        <f t="shared" si="1"/>
        <v>9</v>
      </c>
      <c r="B22" s="52" t="s">
        <v>35</v>
      </c>
      <c r="C22" s="40">
        <v>135</v>
      </c>
      <c r="D22" s="67">
        <f t="shared" si="0"/>
        <v>1537.64</v>
      </c>
      <c r="E22" s="60"/>
    </row>
    <row r="23" spans="1:5" ht="12.75">
      <c r="A23" s="34">
        <f t="shared" si="1"/>
        <v>10</v>
      </c>
      <c r="B23" s="52" t="s">
        <v>36</v>
      </c>
      <c r="C23" s="40">
        <v>133</v>
      </c>
      <c r="D23" s="67">
        <f t="shared" si="0"/>
        <v>1514.86</v>
      </c>
      <c r="E23" s="60"/>
    </row>
    <row r="24" spans="1:5" ht="12.75">
      <c r="A24" s="34">
        <f t="shared" si="1"/>
        <v>11</v>
      </c>
      <c r="B24" s="52" t="s">
        <v>21</v>
      </c>
      <c r="C24" s="40">
        <v>158</v>
      </c>
      <c r="D24" s="67">
        <f t="shared" si="0"/>
        <v>1799.61</v>
      </c>
      <c r="E24" s="60"/>
    </row>
    <row r="25" spans="1:5" ht="12.75">
      <c r="A25" s="34">
        <f t="shared" si="1"/>
        <v>12</v>
      </c>
      <c r="B25" s="52" t="s">
        <v>13</v>
      </c>
      <c r="C25" s="40">
        <v>159</v>
      </c>
      <c r="D25" s="67">
        <f t="shared" si="0"/>
        <v>1811</v>
      </c>
      <c r="E25" s="60"/>
    </row>
    <row r="26" spans="1:5" s="14" customFormat="1" ht="12.75">
      <c r="A26" s="34">
        <f t="shared" si="1"/>
        <v>13</v>
      </c>
      <c r="B26" s="52" t="s">
        <v>14</v>
      </c>
      <c r="C26" s="40">
        <f>120-49</f>
        <v>71</v>
      </c>
      <c r="D26" s="67">
        <f t="shared" si="0"/>
        <v>808.69</v>
      </c>
      <c r="E26" s="60"/>
    </row>
    <row r="27" spans="1:5" ht="12.75">
      <c r="A27" s="34">
        <f t="shared" si="1"/>
        <v>14</v>
      </c>
      <c r="B27" s="52" t="s">
        <v>45</v>
      </c>
      <c r="C27" s="40">
        <v>72</v>
      </c>
      <c r="D27" s="67">
        <f t="shared" si="0"/>
        <v>820.08</v>
      </c>
      <c r="E27" s="60"/>
    </row>
    <row r="28" spans="1:5" ht="12.75">
      <c r="A28" s="34">
        <f t="shared" si="1"/>
        <v>15</v>
      </c>
      <c r="B28" s="52" t="s">
        <v>37</v>
      </c>
      <c r="C28" s="40">
        <v>138</v>
      </c>
      <c r="D28" s="67">
        <f t="shared" si="0"/>
        <v>1571.81</v>
      </c>
      <c r="E28" s="60"/>
    </row>
    <row r="29" spans="1:5" ht="12.75">
      <c r="A29" s="34">
        <f t="shared" si="1"/>
        <v>16</v>
      </c>
      <c r="B29" s="52" t="s">
        <v>15</v>
      </c>
      <c r="C29" s="148">
        <f>151-151</f>
        <v>0</v>
      </c>
      <c r="D29" s="67">
        <f>ROUND(C29/C$47*C$48,2)</f>
        <v>0</v>
      </c>
      <c r="E29" s="60"/>
    </row>
    <row r="30" spans="1:5" ht="12.75">
      <c r="A30" s="34">
        <f t="shared" si="1"/>
        <v>17</v>
      </c>
      <c r="B30" s="52" t="s">
        <v>53</v>
      </c>
      <c r="C30" s="40">
        <v>135</v>
      </c>
      <c r="D30" s="67">
        <f t="shared" si="0"/>
        <v>1537.64</v>
      </c>
      <c r="E30" s="60"/>
    </row>
    <row r="31" spans="1:5" ht="12.75">
      <c r="A31" s="34">
        <f t="shared" si="1"/>
        <v>18</v>
      </c>
      <c r="B31" s="52" t="s">
        <v>11</v>
      </c>
      <c r="C31" s="40">
        <v>153</v>
      </c>
      <c r="D31" s="67">
        <f t="shared" si="0"/>
        <v>1742.66</v>
      </c>
      <c r="E31" s="60"/>
    </row>
    <row r="32" spans="1:5" ht="12.75">
      <c r="A32" s="34">
        <f t="shared" si="1"/>
        <v>19</v>
      </c>
      <c r="B32" s="52" t="s">
        <v>16</v>
      </c>
      <c r="C32" s="40">
        <v>156</v>
      </c>
      <c r="D32" s="67">
        <f t="shared" si="0"/>
        <v>1776.83</v>
      </c>
      <c r="E32" s="60"/>
    </row>
    <row r="33" spans="1:5" ht="12.75">
      <c r="A33" s="34">
        <f t="shared" si="1"/>
        <v>20</v>
      </c>
      <c r="B33" s="52" t="s">
        <v>46</v>
      </c>
      <c r="C33" s="40">
        <v>133</v>
      </c>
      <c r="D33" s="67">
        <f t="shared" si="0"/>
        <v>1514.86</v>
      </c>
      <c r="E33" s="60"/>
    </row>
    <row r="34" spans="1:5" ht="12.75">
      <c r="A34" s="34">
        <f t="shared" si="1"/>
        <v>21</v>
      </c>
      <c r="B34" s="53" t="s">
        <v>61</v>
      </c>
      <c r="C34" s="40">
        <v>0</v>
      </c>
      <c r="D34" s="67">
        <f t="shared" si="0"/>
        <v>0</v>
      </c>
      <c r="E34" s="60"/>
    </row>
    <row r="35" spans="1:5" ht="12.75">
      <c r="A35" s="34">
        <f t="shared" si="1"/>
        <v>22</v>
      </c>
      <c r="B35" s="52" t="s">
        <v>18</v>
      </c>
      <c r="C35" s="40">
        <v>150</v>
      </c>
      <c r="D35" s="67">
        <f t="shared" si="0"/>
        <v>1708.49</v>
      </c>
      <c r="E35" s="60"/>
    </row>
    <row r="36" spans="1:5" ht="26.25">
      <c r="A36" s="34">
        <f t="shared" si="1"/>
        <v>23</v>
      </c>
      <c r="B36" s="52" t="s">
        <v>28</v>
      </c>
      <c r="C36" s="148">
        <f>84-84</f>
        <v>0</v>
      </c>
      <c r="D36" s="67">
        <f t="shared" si="0"/>
        <v>0</v>
      </c>
      <c r="E36" s="61" t="s">
        <v>51</v>
      </c>
    </row>
    <row r="37" spans="1:5" ht="12.75">
      <c r="A37" s="34">
        <f t="shared" si="1"/>
        <v>24</v>
      </c>
      <c r="B37" s="52" t="s">
        <v>38</v>
      </c>
      <c r="C37" s="148">
        <f>92-92</f>
        <v>0</v>
      </c>
      <c r="D37" s="67">
        <f t="shared" si="0"/>
        <v>0</v>
      </c>
      <c r="E37" s="60"/>
    </row>
    <row r="38" spans="1:5" ht="12.75">
      <c r="A38" s="34">
        <f t="shared" si="1"/>
        <v>25</v>
      </c>
      <c r="B38" s="52" t="s">
        <v>39</v>
      </c>
      <c r="C38" s="148">
        <f>71-71</f>
        <v>0</v>
      </c>
      <c r="D38" s="67">
        <f t="shared" si="0"/>
        <v>0</v>
      </c>
      <c r="E38" s="60"/>
    </row>
    <row r="39" spans="1:5" ht="12.75">
      <c r="A39" s="34">
        <f t="shared" si="1"/>
        <v>26</v>
      </c>
      <c r="B39" s="53" t="s">
        <v>54</v>
      </c>
      <c r="C39" s="148">
        <f>91-91</f>
        <v>0</v>
      </c>
      <c r="D39" s="67">
        <f t="shared" si="0"/>
        <v>0</v>
      </c>
      <c r="E39" s="60"/>
    </row>
    <row r="40" spans="1:5" ht="22.5">
      <c r="A40" s="34">
        <f t="shared" si="1"/>
        <v>27</v>
      </c>
      <c r="B40" s="52" t="s">
        <v>40</v>
      </c>
      <c r="C40" s="148">
        <f>119-119</f>
        <v>0</v>
      </c>
      <c r="D40" s="67">
        <f t="shared" si="0"/>
        <v>0</v>
      </c>
      <c r="E40" s="60"/>
    </row>
    <row r="41" spans="1:5" ht="22.5">
      <c r="A41" s="34">
        <f t="shared" si="1"/>
        <v>28</v>
      </c>
      <c r="B41" s="52" t="s">
        <v>41</v>
      </c>
      <c r="C41" s="148">
        <f>159-159</f>
        <v>0</v>
      </c>
      <c r="D41" s="67">
        <f t="shared" si="0"/>
        <v>0</v>
      </c>
      <c r="E41" s="60"/>
    </row>
    <row r="42" spans="1:5" ht="23.25" customHeight="1">
      <c r="A42" s="34">
        <f t="shared" si="1"/>
        <v>29</v>
      </c>
      <c r="B42" s="52" t="s">
        <v>42</v>
      </c>
      <c r="C42" s="40">
        <v>71</v>
      </c>
      <c r="D42" s="67">
        <f t="shared" si="0"/>
        <v>808.69</v>
      </c>
      <c r="E42" s="60"/>
    </row>
    <row r="43" spans="1:5" s="137" customFormat="1" ht="22.5">
      <c r="A43" s="134"/>
      <c r="B43" s="129" t="s">
        <v>64</v>
      </c>
      <c r="C43" s="149">
        <f>132-132</f>
        <v>0</v>
      </c>
      <c r="D43" s="135">
        <f t="shared" si="0"/>
        <v>0</v>
      </c>
      <c r="E43" s="136"/>
    </row>
    <row r="44" spans="1:5" ht="12.75">
      <c r="A44" s="34">
        <v>30</v>
      </c>
      <c r="B44" s="52" t="s">
        <v>43</v>
      </c>
      <c r="C44" s="148">
        <f>142-142</f>
        <v>0</v>
      </c>
      <c r="D44" s="67">
        <f t="shared" si="0"/>
        <v>0</v>
      </c>
      <c r="E44" s="60"/>
    </row>
    <row r="45" spans="1:5" ht="12.75">
      <c r="A45" s="34">
        <f t="shared" si="1"/>
        <v>31</v>
      </c>
      <c r="B45" s="53" t="s">
        <v>44</v>
      </c>
      <c r="C45" s="40">
        <v>156</v>
      </c>
      <c r="D45" s="67">
        <f t="shared" si="0"/>
        <v>1776.83</v>
      </c>
      <c r="E45" s="60"/>
    </row>
    <row r="46" spans="1:5" ht="12.75">
      <c r="A46" s="34">
        <f t="shared" si="1"/>
        <v>32</v>
      </c>
      <c r="B46" s="53" t="s">
        <v>17</v>
      </c>
      <c r="C46" s="40">
        <v>151</v>
      </c>
      <c r="D46" s="67">
        <f t="shared" si="0"/>
        <v>1719.88</v>
      </c>
      <c r="E46" s="60"/>
    </row>
    <row r="47" spans="1:5" s="1" customFormat="1" ht="13.5" thickBot="1">
      <c r="A47" s="6"/>
      <c r="B47" s="10" t="s">
        <v>3</v>
      </c>
      <c r="C47" s="39">
        <f>SUM(C14:C46)</f>
        <v>2976</v>
      </c>
      <c r="D47" s="68">
        <f>SUM(D14:D46)</f>
        <v>33896.46</v>
      </c>
      <c r="E47" s="62"/>
    </row>
    <row r="48" spans="1:5" ht="13.5" thickBot="1">
      <c r="A48" s="16"/>
      <c r="B48" s="11" t="s">
        <v>25</v>
      </c>
      <c r="C48" s="41">
        <f>ROUND(evaluare!C41*0.5*0.5,2)</f>
        <v>33896.46</v>
      </c>
      <c r="D48" s="63"/>
      <c r="E48" s="41"/>
    </row>
    <row r="49" spans="2:5" ht="12.75">
      <c r="B49" s="37"/>
      <c r="C49" s="7"/>
      <c r="D49" s="37"/>
      <c r="E49" s="37"/>
    </row>
    <row r="50" spans="2:5" ht="12.75">
      <c r="B50" s="12" t="s">
        <v>4</v>
      </c>
      <c r="C50" s="3">
        <f>ROUND(C48/C47,2)</f>
        <v>11.39</v>
      </c>
      <c r="D50" s="17"/>
      <c r="E50" s="17"/>
    </row>
    <row r="51" spans="2:5" ht="12.75">
      <c r="B51" s="37"/>
      <c r="C51" s="3"/>
      <c r="D51" s="17"/>
      <c r="E51" s="17"/>
    </row>
  </sheetData>
  <sheetProtection/>
  <mergeCells count="4">
    <mergeCell ref="E12:E13"/>
    <mergeCell ref="C6:D6"/>
    <mergeCell ref="B11:C11"/>
    <mergeCell ref="A9:E9"/>
  </mergeCells>
  <printOptions horizontalCentered="1" verticalCentered="1"/>
  <pageMargins left="0.35433070866141736" right="0.15748031496062992" top="0.24" bottom="0.25" header="0.11811023622047245" footer="0.17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zoomScalePageLayoutView="0" workbookViewId="0" topLeftCell="A33">
      <selection activeCell="A51" sqref="A51:IV53"/>
    </sheetView>
  </sheetViews>
  <sheetFormatPr defaultColWidth="9.140625" defaultRowHeight="12.75" outlineLevelRow="1"/>
  <cols>
    <col min="1" max="1" width="3.57421875" style="13" customWidth="1"/>
    <col min="2" max="2" width="34.7109375" style="13" customWidth="1"/>
    <col min="3" max="3" width="16.28125" style="4" customWidth="1"/>
    <col min="4" max="4" width="16.7109375" style="13" customWidth="1"/>
    <col min="5" max="5" width="24.7109375" style="13" customWidth="1"/>
    <col min="6" max="6" width="12.00390625" style="13" hidden="1" customWidth="1"/>
    <col min="7" max="7" width="11.00390625" style="13" hidden="1" customWidth="1" collapsed="1"/>
    <col min="8" max="8" width="0" style="13" hidden="1" customWidth="1"/>
    <col min="9" max="16384" width="9.140625" style="13" customWidth="1"/>
  </cols>
  <sheetData>
    <row r="1" spans="3:6" s="72" customFormat="1" ht="13.5" hidden="1" outlineLevel="1">
      <c r="C1" s="73" t="s">
        <v>6</v>
      </c>
      <c r="D1" s="73"/>
      <c r="E1" s="73"/>
      <c r="F1" s="73"/>
    </row>
    <row r="2" spans="3:6" s="72" customFormat="1" ht="13.5" hidden="1" outlineLevel="1">
      <c r="C2" s="73" t="s">
        <v>55</v>
      </c>
      <c r="D2" s="73"/>
      <c r="E2" s="73"/>
      <c r="F2" s="73"/>
    </row>
    <row r="3" spans="3:6" s="72" customFormat="1" ht="13.5" hidden="1" outlineLevel="1">
      <c r="C3" s="73" t="s">
        <v>49</v>
      </c>
      <c r="D3" s="97"/>
      <c r="E3" s="97"/>
      <c r="F3" s="97"/>
    </row>
    <row r="4" spans="3:6" s="72" customFormat="1" ht="13.5" hidden="1" outlineLevel="1">
      <c r="C4" s="73"/>
      <c r="D4" s="74"/>
      <c r="E4" s="74"/>
      <c r="F4" s="74"/>
    </row>
    <row r="5" spans="3:6" s="72" customFormat="1" ht="13.5" hidden="1" outlineLevel="1">
      <c r="C5" s="73" t="s">
        <v>7</v>
      </c>
      <c r="D5" s="73"/>
      <c r="E5" s="73"/>
      <c r="F5" s="73"/>
    </row>
    <row r="6" spans="3:6" s="72" customFormat="1" ht="21.75" customHeight="1" hidden="1" outlineLevel="1">
      <c r="C6" s="154" t="s">
        <v>62</v>
      </c>
      <c r="D6" s="154"/>
      <c r="E6" s="75"/>
      <c r="F6" s="75"/>
    </row>
    <row r="7" spans="3:6" s="72" customFormat="1" ht="13.5" hidden="1" outlineLevel="1">
      <c r="C7" s="76" t="s">
        <v>57</v>
      </c>
      <c r="D7" s="77"/>
      <c r="E7" s="77"/>
      <c r="F7" s="77"/>
    </row>
    <row r="8" spans="1:6" s="78" customFormat="1" ht="33" customHeight="1" collapsed="1">
      <c r="A8" s="159" t="s">
        <v>24</v>
      </c>
      <c r="B8" s="159"/>
      <c r="C8" s="159"/>
      <c r="D8" s="159"/>
      <c r="E8" s="159"/>
      <c r="F8" s="99"/>
    </row>
    <row r="10" spans="2:6" s="21" customFormat="1" ht="15.75" thickBot="1">
      <c r="B10" s="150">
        <f>TOTAL!A3</f>
        <v>44451</v>
      </c>
      <c r="C10" s="151"/>
      <c r="E10" s="81"/>
      <c r="F10" s="81"/>
    </row>
    <row r="11" spans="1:7" s="1" customFormat="1" ht="21" thickBot="1">
      <c r="A11" s="106" t="s">
        <v>60</v>
      </c>
      <c r="B11" s="82" t="s">
        <v>1</v>
      </c>
      <c r="C11" s="32" t="s">
        <v>58</v>
      </c>
      <c r="D11" s="83" t="s">
        <v>29</v>
      </c>
      <c r="E11" s="153" t="s">
        <v>50</v>
      </c>
      <c r="F11" s="19" t="s">
        <v>59</v>
      </c>
      <c r="G11" s="19" t="s">
        <v>63</v>
      </c>
    </row>
    <row r="12" spans="1:6" s="2" customFormat="1" ht="27" thickBot="1">
      <c r="A12" s="119">
        <v>0</v>
      </c>
      <c r="B12" s="28">
        <v>1</v>
      </c>
      <c r="C12" s="30">
        <v>2</v>
      </c>
      <c r="D12" s="45" t="s">
        <v>31</v>
      </c>
      <c r="E12" s="156"/>
      <c r="F12" s="20"/>
    </row>
    <row r="13" spans="1:7" ht="12.75">
      <c r="A13" s="33">
        <v>1</v>
      </c>
      <c r="B13" s="51" t="s">
        <v>10</v>
      </c>
      <c r="C13" s="100">
        <v>778</v>
      </c>
      <c r="D13" s="38">
        <f aca="true" t="shared" si="0" ref="D13:D18">ROUND(C13/C$46*C$47,2)</f>
        <v>1389.98</v>
      </c>
      <c r="E13" s="55"/>
      <c r="F13" s="48">
        <f aca="true" t="shared" si="1" ref="F13:F45">C13-G13</f>
        <v>-117</v>
      </c>
      <c r="G13" s="43">
        <v>895</v>
      </c>
    </row>
    <row r="14" spans="1:7" ht="30" customHeight="1">
      <c r="A14" s="34">
        <f>A13+1</f>
        <v>2</v>
      </c>
      <c r="B14" s="52" t="s">
        <v>52</v>
      </c>
      <c r="C14" s="35">
        <v>2497.5</v>
      </c>
      <c r="D14" s="40">
        <f t="shared" si="0"/>
        <v>4462.06</v>
      </c>
      <c r="E14" s="56"/>
      <c r="F14" s="48">
        <f t="shared" si="1"/>
        <v>273.5</v>
      </c>
      <c r="G14" s="43">
        <v>2224</v>
      </c>
    </row>
    <row r="15" spans="1:7" ht="12.75">
      <c r="A15" s="34">
        <f>A14+1</f>
        <v>3</v>
      </c>
      <c r="B15" s="52" t="s">
        <v>33</v>
      </c>
      <c r="C15" s="35">
        <v>416</v>
      </c>
      <c r="D15" s="40">
        <f t="shared" si="0"/>
        <v>743.23</v>
      </c>
      <c r="E15" s="69"/>
      <c r="F15" s="48">
        <f t="shared" si="1"/>
        <v>20</v>
      </c>
      <c r="G15" s="43">
        <v>396</v>
      </c>
    </row>
    <row r="16" spans="1:7" ht="12.75">
      <c r="A16" s="34">
        <f>A15+1</f>
        <v>4</v>
      </c>
      <c r="B16" s="52" t="s">
        <v>12</v>
      </c>
      <c r="C16" s="35">
        <v>503.5</v>
      </c>
      <c r="D16" s="40">
        <f t="shared" si="0"/>
        <v>899.56</v>
      </c>
      <c r="E16" s="69"/>
      <c r="F16" s="48">
        <f t="shared" si="1"/>
        <v>13.5</v>
      </c>
      <c r="G16" s="43">
        <v>490</v>
      </c>
    </row>
    <row r="17" spans="1:7" ht="12.75">
      <c r="A17" s="34">
        <f aca="true" t="shared" si="2" ref="A17:A45">A16+1</f>
        <v>5</v>
      </c>
      <c r="B17" s="87" t="s">
        <v>56</v>
      </c>
      <c r="C17" s="146">
        <f>408-408</f>
        <v>0</v>
      </c>
      <c r="D17" s="40">
        <f t="shared" si="0"/>
        <v>0</v>
      </c>
      <c r="E17" s="69"/>
      <c r="F17" s="48"/>
      <c r="G17" s="43">
        <v>248</v>
      </c>
    </row>
    <row r="18" spans="1:7" ht="22.5">
      <c r="A18" s="34">
        <f t="shared" si="2"/>
        <v>6</v>
      </c>
      <c r="B18" s="54" t="s">
        <v>48</v>
      </c>
      <c r="C18" s="35">
        <v>647.5</v>
      </c>
      <c r="D18" s="40">
        <f t="shared" si="0"/>
        <v>1156.83</v>
      </c>
      <c r="E18" s="69"/>
      <c r="F18" s="48">
        <f>C18-G18</f>
        <v>331.5</v>
      </c>
      <c r="G18" s="43">
        <v>316</v>
      </c>
    </row>
    <row r="19" spans="1:7" ht="12.75">
      <c r="A19" s="34">
        <f t="shared" si="2"/>
        <v>7</v>
      </c>
      <c r="B19" s="52" t="s">
        <v>34</v>
      </c>
      <c r="C19" s="35">
        <v>1312</v>
      </c>
      <c r="D19" s="40">
        <f>ROUND(C19/C$46*C$47,2)</f>
        <v>2344.03</v>
      </c>
      <c r="E19" s="69"/>
      <c r="F19" s="48">
        <f t="shared" si="1"/>
        <v>12</v>
      </c>
      <c r="G19" s="43">
        <v>1300</v>
      </c>
    </row>
    <row r="20" spans="1:7" ht="24" customHeight="1">
      <c r="A20" s="34">
        <f t="shared" si="2"/>
        <v>8</v>
      </c>
      <c r="B20" s="52" t="s">
        <v>47</v>
      </c>
      <c r="C20" s="35">
        <v>448.5</v>
      </c>
      <c r="D20" s="40">
        <f aca="true" t="shared" si="3" ref="D20:D45">ROUND(C20/C$46*C$47,2)</f>
        <v>801.29</v>
      </c>
      <c r="E20" s="69"/>
      <c r="F20" s="48">
        <f t="shared" si="1"/>
        <v>5.5</v>
      </c>
      <c r="G20" s="43">
        <v>443</v>
      </c>
    </row>
    <row r="21" spans="1:7" ht="12.75">
      <c r="A21" s="34">
        <f t="shared" si="2"/>
        <v>9</v>
      </c>
      <c r="B21" s="52" t="s">
        <v>35</v>
      </c>
      <c r="C21" s="35">
        <v>540</v>
      </c>
      <c r="D21" s="40">
        <f t="shared" si="3"/>
        <v>964.77</v>
      </c>
      <c r="E21" s="69"/>
      <c r="F21" s="48">
        <f t="shared" si="1"/>
        <v>-36</v>
      </c>
      <c r="G21" s="43">
        <v>576</v>
      </c>
    </row>
    <row r="22" spans="1:7" ht="28.5" customHeight="1">
      <c r="A22" s="34">
        <f t="shared" si="2"/>
        <v>10</v>
      </c>
      <c r="B22" s="52" t="s">
        <v>36</v>
      </c>
      <c r="C22" s="35">
        <v>698</v>
      </c>
      <c r="D22" s="40">
        <f t="shared" si="3"/>
        <v>1247.05</v>
      </c>
      <c r="E22" s="56"/>
      <c r="F22" s="48">
        <f t="shared" si="1"/>
        <v>0</v>
      </c>
      <c r="G22" s="43">
        <v>698</v>
      </c>
    </row>
    <row r="23" spans="1:7" ht="12.75">
      <c r="A23" s="34">
        <f t="shared" si="2"/>
        <v>11</v>
      </c>
      <c r="B23" s="52" t="s">
        <v>21</v>
      </c>
      <c r="C23" s="35">
        <v>612</v>
      </c>
      <c r="D23" s="40">
        <f t="shared" si="3"/>
        <v>1093.41</v>
      </c>
      <c r="E23" s="56"/>
      <c r="F23" s="48">
        <f>C23-G23</f>
        <v>272</v>
      </c>
      <c r="G23" s="43">
        <v>340</v>
      </c>
    </row>
    <row r="24" spans="1:7" ht="12.75">
      <c r="A24" s="34">
        <f t="shared" si="2"/>
        <v>12</v>
      </c>
      <c r="B24" s="52" t="s">
        <v>13</v>
      </c>
      <c r="C24" s="17">
        <v>1296</v>
      </c>
      <c r="D24" s="40">
        <f t="shared" si="3"/>
        <v>2315.45</v>
      </c>
      <c r="E24" s="56"/>
      <c r="F24" s="48">
        <f t="shared" si="1"/>
        <v>168</v>
      </c>
      <c r="G24" s="43">
        <v>1128</v>
      </c>
    </row>
    <row r="25" spans="1:7" s="14" customFormat="1" ht="12.75">
      <c r="A25" s="34">
        <f t="shared" si="2"/>
        <v>13</v>
      </c>
      <c r="B25" s="52" t="s">
        <v>14</v>
      </c>
      <c r="C25" s="35">
        <v>495</v>
      </c>
      <c r="D25" s="40">
        <f t="shared" si="3"/>
        <v>884.37</v>
      </c>
      <c r="E25" s="56"/>
      <c r="F25" s="48">
        <f t="shared" si="1"/>
        <v>-201</v>
      </c>
      <c r="G25" s="44">
        <v>696</v>
      </c>
    </row>
    <row r="26" spans="1:7" ht="12.75">
      <c r="A26" s="34">
        <f t="shared" si="2"/>
        <v>14</v>
      </c>
      <c r="B26" s="52" t="s">
        <v>45</v>
      </c>
      <c r="C26" s="35">
        <v>411</v>
      </c>
      <c r="D26" s="40">
        <f t="shared" si="3"/>
        <v>734.3</v>
      </c>
      <c r="E26" s="69"/>
      <c r="F26" s="48">
        <f t="shared" si="1"/>
        <v>-32</v>
      </c>
      <c r="G26" s="43">
        <v>443</v>
      </c>
    </row>
    <row r="27" spans="1:7" s="14" customFormat="1" ht="12.75">
      <c r="A27" s="34">
        <f t="shared" si="2"/>
        <v>15</v>
      </c>
      <c r="B27" s="52" t="s">
        <v>37</v>
      </c>
      <c r="C27" s="17">
        <v>679</v>
      </c>
      <c r="D27" s="40">
        <f t="shared" si="3"/>
        <v>1213.11</v>
      </c>
      <c r="E27" s="69"/>
      <c r="F27" s="48">
        <f t="shared" si="1"/>
        <v>265</v>
      </c>
      <c r="G27" s="44">
        <v>414</v>
      </c>
    </row>
    <row r="28" spans="1:7" ht="12.75">
      <c r="A28" s="34">
        <f t="shared" si="2"/>
        <v>16</v>
      </c>
      <c r="B28" s="52" t="s">
        <v>15</v>
      </c>
      <c r="C28" s="146">
        <f>580-580</f>
        <v>0</v>
      </c>
      <c r="D28" s="40">
        <f t="shared" si="3"/>
        <v>0</v>
      </c>
      <c r="E28" s="69"/>
      <c r="F28" s="48">
        <f t="shared" si="1"/>
        <v>-600</v>
      </c>
      <c r="G28" s="43">
        <v>600</v>
      </c>
    </row>
    <row r="29" spans="1:7" ht="12.75">
      <c r="A29" s="34">
        <f t="shared" si="2"/>
        <v>17</v>
      </c>
      <c r="B29" s="52" t="s">
        <v>53</v>
      </c>
      <c r="C29" s="35">
        <v>912</v>
      </c>
      <c r="D29" s="40">
        <f t="shared" si="3"/>
        <v>1629.39</v>
      </c>
      <c r="E29" s="69"/>
      <c r="F29" s="48">
        <f t="shared" si="1"/>
        <v>199</v>
      </c>
      <c r="G29" s="43">
        <v>713</v>
      </c>
    </row>
    <row r="30" spans="1:7" ht="12.75">
      <c r="A30" s="34">
        <f t="shared" si="2"/>
        <v>18</v>
      </c>
      <c r="B30" s="52" t="s">
        <v>11</v>
      </c>
      <c r="C30" s="35">
        <v>988.5</v>
      </c>
      <c r="D30" s="40">
        <f t="shared" si="3"/>
        <v>1766.06</v>
      </c>
      <c r="E30" s="69"/>
      <c r="F30" s="48">
        <f>C30-G30</f>
        <v>120.5</v>
      </c>
      <c r="G30" s="43">
        <v>868</v>
      </c>
    </row>
    <row r="31" spans="1:7" ht="12.75">
      <c r="A31" s="34">
        <f t="shared" si="2"/>
        <v>19</v>
      </c>
      <c r="B31" s="52" t="s">
        <v>16</v>
      </c>
      <c r="C31" s="35">
        <v>810.5</v>
      </c>
      <c r="D31" s="40">
        <f t="shared" si="3"/>
        <v>1448.05</v>
      </c>
      <c r="E31" s="69"/>
      <c r="F31" s="48">
        <f>C31-G31</f>
        <v>-69.5</v>
      </c>
      <c r="G31" s="43">
        <v>880</v>
      </c>
    </row>
    <row r="32" spans="1:7" ht="12.75">
      <c r="A32" s="34">
        <f t="shared" si="2"/>
        <v>20</v>
      </c>
      <c r="B32" s="52" t="s">
        <v>46</v>
      </c>
      <c r="C32" s="35">
        <v>546.5</v>
      </c>
      <c r="D32" s="40">
        <f t="shared" si="3"/>
        <v>976.38</v>
      </c>
      <c r="E32" s="69"/>
      <c r="F32" s="48">
        <f>C32-G32</f>
        <v>-284.5</v>
      </c>
      <c r="G32" s="43">
        <v>831</v>
      </c>
    </row>
    <row r="33" spans="1:7" ht="12.75">
      <c r="A33" s="34">
        <f t="shared" si="2"/>
        <v>21</v>
      </c>
      <c r="B33" s="52" t="s">
        <v>61</v>
      </c>
      <c r="C33" s="121">
        <v>648</v>
      </c>
      <c r="D33" s="40">
        <f t="shared" si="3"/>
        <v>1157.72</v>
      </c>
      <c r="E33" s="122"/>
      <c r="F33" s="48"/>
      <c r="G33" s="43"/>
    </row>
    <row r="34" spans="1:7" ht="12.75">
      <c r="A34" s="34">
        <f t="shared" si="2"/>
        <v>22</v>
      </c>
      <c r="B34" s="52" t="s">
        <v>18</v>
      </c>
      <c r="C34" s="35">
        <v>1004</v>
      </c>
      <c r="D34" s="40">
        <f t="shared" si="3"/>
        <v>1793.76</v>
      </c>
      <c r="E34" s="69"/>
      <c r="F34" s="48">
        <f>C34-G34</f>
        <v>-24</v>
      </c>
      <c r="G34" s="43">
        <v>1028</v>
      </c>
    </row>
    <row r="35" spans="1:7" ht="12.75">
      <c r="A35" s="34">
        <f t="shared" si="2"/>
        <v>23</v>
      </c>
      <c r="B35" s="52" t="s">
        <v>28</v>
      </c>
      <c r="C35" s="146">
        <f>720-720</f>
        <v>0</v>
      </c>
      <c r="D35" s="40">
        <f t="shared" si="3"/>
        <v>0</v>
      </c>
      <c r="E35" s="69"/>
      <c r="F35" s="48">
        <f t="shared" si="1"/>
        <v>-720</v>
      </c>
      <c r="G35" s="43">
        <v>720</v>
      </c>
    </row>
    <row r="36" spans="1:7" ht="12.75">
      <c r="A36" s="34">
        <f t="shared" si="2"/>
        <v>24</v>
      </c>
      <c r="B36" s="52" t="s">
        <v>38</v>
      </c>
      <c r="C36" s="146">
        <f>360-360</f>
        <v>0</v>
      </c>
      <c r="D36" s="40">
        <f t="shared" si="3"/>
        <v>0</v>
      </c>
      <c r="E36" s="69"/>
      <c r="F36" s="48">
        <f t="shared" si="1"/>
        <v>-360</v>
      </c>
      <c r="G36" s="43">
        <v>360</v>
      </c>
    </row>
    <row r="37" spans="1:7" ht="12.75">
      <c r="A37" s="34">
        <f t="shared" si="2"/>
        <v>25</v>
      </c>
      <c r="B37" s="52" t="s">
        <v>39</v>
      </c>
      <c r="C37" s="146">
        <f>370-370</f>
        <v>0</v>
      </c>
      <c r="D37" s="40">
        <f t="shared" si="3"/>
        <v>0</v>
      </c>
      <c r="E37" s="69"/>
      <c r="F37" s="48">
        <f t="shared" si="1"/>
        <v>-320</v>
      </c>
      <c r="G37" s="43">
        <v>320</v>
      </c>
    </row>
    <row r="38" spans="1:7" ht="12.75">
      <c r="A38" s="34">
        <f t="shared" si="2"/>
        <v>26</v>
      </c>
      <c r="B38" s="53" t="s">
        <v>54</v>
      </c>
      <c r="C38" s="146">
        <f>352-352</f>
        <v>0</v>
      </c>
      <c r="D38" s="40">
        <f t="shared" si="3"/>
        <v>0</v>
      </c>
      <c r="E38" s="69"/>
      <c r="F38" s="48"/>
      <c r="G38" s="43">
        <v>232</v>
      </c>
    </row>
    <row r="39" spans="1:7" ht="22.5">
      <c r="A39" s="34">
        <f t="shared" si="2"/>
        <v>27</v>
      </c>
      <c r="B39" s="52" t="s">
        <v>40</v>
      </c>
      <c r="C39" s="146">
        <f>368-368</f>
        <v>0</v>
      </c>
      <c r="D39" s="40">
        <f t="shared" si="3"/>
        <v>0</v>
      </c>
      <c r="E39" s="69"/>
      <c r="F39" s="48">
        <f t="shared" si="1"/>
        <v>-336</v>
      </c>
      <c r="G39" s="43">
        <v>336</v>
      </c>
    </row>
    <row r="40" spans="1:7" ht="22.5">
      <c r="A40" s="34">
        <f t="shared" si="2"/>
        <v>28</v>
      </c>
      <c r="B40" s="52" t="s">
        <v>41</v>
      </c>
      <c r="C40" s="146">
        <f>1046-1046</f>
        <v>0</v>
      </c>
      <c r="D40" s="40">
        <f t="shared" si="3"/>
        <v>0</v>
      </c>
      <c r="E40" s="69"/>
      <c r="F40" s="48">
        <f t="shared" si="1"/>
        <v>-1048</v>
      </c>
      <c r="G40" s="43">
        <v>1048</v>
      </c>
    </row>
    <row r="41" spans="1:7" ht="24" customHeight="1">
      <c r="A41" s="34">
        <f t="shared" si="2"/>
        <v>29</v>
      </c>
      <c r="B41" s="52" t="s">
        <v>42</v>
      </c>
      <c r="C41" s="35">
        <v>298</v>
      </c>
      <c r="D41" s="40">
        <f t="shared" si="3"/>
        <v>532.41</v>
      </c>
      <c r="E41" s="69"/>
      <c r="F41" s="48">
        <f t="shared" si="1"/>
        <v>0</v>
      </c>
      <c r="G41" s="43">
        <v>298</v>
      </c>
    </row>
    <row r="42" spans="1:7" s="137" customFormat="1" ht="36" customHeight="1">
      <c r="A42" s="134"/>
      <c r="B42" s="129" t="s">
        <v>64</v>
      </c>
      <c r="C42" s="141">
        <f>745.5-745.5</f>
        <v>0</v>
      </c>
      <c r="D42" s="138">
        <f t="shared" si="3"/>
        <v>0</v>
      </c>
      <c r="E42" s="131" t="s">
        <v>65</v>
      </c>
      <c r="F42" s="139">
        <f t="shared" si="1"/>
        <v>-600</v>
      </c>
      <c r="G42" s="140">
        <v>600</v>
      </c>
    </row>
    <row r="43" spans="1:7" ht="12.75">
      <c r="A43" s="34">
        <v>30</v>
      </c>
      <c r="B43" s="52" t="s">
        <v>43</v>
      </c>
      <c r="C43" s="146">
        <f>1608-1608</f>
        <v>0</v>
      </c>
      <c r="D43" s="40">
        <f t="shared" si="3"/>
        <v>0</v>
      </c>
      <c r="E43" s="69"/>
      <c r="F43" s="48">
        <f t="shared" si="1"/>
        <v>-992</v>
      </c>
      <c r="G43" s="43">
        <v>992</v>
      </c>
    </row>
    <row r="44" spans="1:7" ht="12.75">
      <c r="A44" s="34">
        <f t="shared" si="2"/>
        <v>31</v>
      </c>
      <c r="B44" s="53" t="s">
        <v>44</v>
      </c>
      <c r="C44" s="35">
        <v>1256</v>
      </c>
      <c r="D44" s="40">
        <f t="shared" si="3"/>
        <v>2243.98</v>
      </c>
      <c r="E44" s="69"/>
      <c r="F44" s="48">
        <f t="shared" si="1"/>
        <v>0</v>
      </c>
      <c r="G44" s="43">
        <v>1256</v>
      </c>
    </row>
    <row r="45" spans="1:7" ht="13.5" thickBot="1">
      <c r="A45" s="34">
        <f t="shared" si="2"/>
        <v>32</v>
      </c>
      <c r="B45" s="53" t="s">
        <v>17</v>
      </c>
      <c r="C45" s="35">
        <v>1175</v>
      </c>
      <c r="D45" s="40">
        <f t="shared" si="3"/>
        <v>2099.27</v>
      </c>
      <c r="E45" s="69"/>
      <c r="F45" s="48">
        <f t="shared" si="1"/>
        <v>258</v>
      </c>
      <c r="G45" s="43">
        <v>917</v>
      </c>
    </row>
    <row r="46" spans="1:6" ht="13.5" thickBot="1">
      <c r="A46" s="101"/>
      <c r="B46" s="124" t="s">
        <v>3</v>
      </c>
      <c r="C46" s="126">
        <f>SUM(C13:C45)</f>
        <v>18972.5</v>
      </c>
      <c r="D46" s="125">
        <f>SUM(D13:D45)</f>
        <v>33896.46</v>
      </c>
      <c r="E46" s="47"/>
      <c r="F46" s="3"/>
    </row>
    <row r="47" spans="1:6" ht="13.5" thickBot="1">
      <c r="A47" s="102"/>
      <c r="B47" s="22" t="s">
        <v>25</v>
      </c>
      <c r="C47" s="23">
        <f>evaluare!C41*0.5*0.5</f>
        <v>33896.46</v>
      </c>
      <c r="D47" s="42"/>
      <c r="E47" s="46"/>
      <c r="F47" s="3"/>
    </row>
    <row r="48" spans="2:6" ht="12.75">
      <c r="B48" s="37"/>
      <c r="C48" s="3"/>
      <c r="D48" s="37"/>
      <c r="E48" s="37"/>
      <c r="F48" s="37"/>
    </row>
    <row r="49" spans="2:6" ht="12.75">
      <c r="B49" s="12" t="s">
        <v>4</v>
      </c>
      <c r="C49" s="3">
        <f>ROUND(C47/C46,2)</f>
        <v>1.79</v>
      </c>
      <c r="D49" s="17"/>
      <c r="E49" s="17"/>
      <c r="F49" s="17"/>
    </row>
    <row r="50" spans="2:6" ht="12.75">
      <c r="B50" s="37"/>
      <c r="C50" s="3"/>
      <c r="D50" s="17"/>
      <c r="E50" s="17"/>
      <c r="F50" s="17"/>
    </row>
  </sheetData>
  <sheetProtection/>
  <mergeCells count="4">
    <mergeCell ref="E11:E12"/>
    <mergeCell ref="C6:D6"/>
    <mergeCell ref="B10:C10"/>
    <mergeCell ref="A8:E8"/>
  </mergeCells>
  <printOptions horizontalCentered="1"/>
  <pageMargins left="0.15748031496063" right="0.15748031496063" top="0.17" bottom="0.17" header="0.17" footer="0.1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2021-12-09T11:39:03Z</cp:lastPrinted>
  <dcterms:created xsi:type="dcterms:W3CDTF">2003-02-20T14:27:52Z</dcterms:created>
  <dcterms:modified xsi:type="dcterms:W3CDTF">2021-12-22T08:30:08Z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